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65" windowWidth="27795" windowHeight="11190"/>
  </bookViews>
  <sheets>
    <sheet name="InputOutput" sheetId="9" r:id="rId1"/>
    <sheet name="Densities" sheetId="2" r:id="rId2"/>
    <sheet name="Definition of Sorting" sheetId="3" state="hidden" r:id="rId3"/>
    <sheet name="Sorter Allocation" sheetId="4" state="hidden" r:id="rId4"/>
    <sheet name="Allocation  of Equipment To Mat" sheetId="6" state="hidden" r:id="rId5"/>
    <sheet name="Benchmark Sorting Rate" sheetId="7" r:id="rId6"/>
    <sheet name="Construction 200T" sheetId="8" r:id="rId7"/>
    <sheet name="Construction 600T" sheetId="10" r:id="rId8"/>
    <sheet name="MRF Labor Requirements" sheetId="11" r:id="rId9"/>
    <sheet name="Equpment Costs" sheetId="12" r:id="rId10"/>
    <sheet name="Model Ranges" sheetId="13" state="hidden" r:id="rId11"/>
    <sheet name="Lookup Matrix" sheetId="14" r:id="rId12"/>
    <sheet name="Sheet1" sheetId="15" state="hidden" r:id="rId13"/>
    <sheet name="Sheet2" sheetId="16" state="hidden" r:id="rId14"/>
    <sheet name="Cost Curves Single Stream" sheetId="17" state="hidden" r:id="rId15"/>
  </sheets>
  <calcPr calcId="145621"/>
</workbook>
</file>

<file path=xl/calcChain.xml><?xml version="1.0" encoding="utf-8"?>
<calcChain xmlns="http://schemas.openxmlformats.org/spreadsheetml/2006/main">
  <c r="B8" i="9" l="1"/>
  <c r="B9" i="9"/>
  <c r="B10" i="9"/>
  <c r="B11" i="9"/>
  <c r="B12" i="9"/>
  <c r="B13" i="9"/>
  <c r="B14" i="9"/>
  <c r="B15" i="9"/>
  <c r="B7" i="9"/>
  <c r="F23" i="17" l="1"/>
  <c r="A23" i="17"/>
  <c r="B16" i="14" l="1"/>
  <c r="N13" i="14"/>
  <c r="N15" i="14" s="1"/>
  <c r="O13" i="14"/>
  <c r="O15" i="14" s="1"/>
  <c r="P13" i="14"/>
  <c r="P15" i="14" s="1"/>
  <c r="Q13" i="14"/>
  <c r="Q15" i="14" s="1"/>
  <c r="R13" i="14"/>
  <c r="R15" i="14" s="1"/>
  <c r="M13" i="14"/>
  <c r="M15" i="14" s="1"/>
  <c r="M6" i="14"/>
  <c r="N6" i="14"/>
  <c r="O6" i="14"/>
  <c r="P6" i="14"/>
  <c r="Q6" i="14"/>
  <c r="R6" i="14"/>
  <c r="M7" i="14"/>
  <c r="N7" i="14"/>
  <c r="O7" i="14"/>
  <c r="P7" i="14"/>
  <c r="Q7" i="14"/>
  <c r="R7" i="14"/>
  <c r="M8" i="14"/>
  <c r="N8" i="14"/>
  <c r="O8" i="14"/>
  <c r="P8" i="14"/>
  <c r="Q8" i="14"/>
  <c r="R8" i="14"/>
  <c r="C16" i="14"/>
  <c r="D16" i="14"/>
  <c r="E16" i="14"/>
  <c r="F16" i="14"/>
  <c r="G16" i="14"/>
  <c r="B17" i="14"/>
  <c r="C17" i="14"/>
  <c r="D17" i="14"/>
  <c r="E17" i="14"/>
  <c r="F17" i="14"/>
  <c r="G17" i="14"/>
  <c r="B18" i="14"/>
  <c r="C18" i="14"/>
  <c r="D18" i="14"/>
  <c r="E18" i="14"/>
  <c r="F18" i="14"/>
  <c r="G18" i="14"/>
  <c r="B20" i="14"/>
  <c r="C20" i="14"/>
  <c r="D20" i="14"/>
  <c r="E20" i="14"/>
  <c r="F20" i="14"/>
  <c r="G20" i="14"/>
  <c r="B21" i="14"/>
  <c r="C21" i="14"/>
  <c r="D21" i="14"/>
  <c r="E21" i="14"/>
  <c r="F21" i="14"/>
  <c r="G21" i="14"/>
  <c r="B22" i="14"/>
  <c r="C22" i="14"/>
  <c r="D22" i="14"/>
  <c r="E22" i="14"/>
  <c r="F22" i="14"/>
  <c r="G22" i="14"/>
  <c r="R19" i="14" l="1"/>
  <c r="R18" i="14"/>
  <c r="P19" i="14"/>
  <c r="P18" i="14"/>
  <c r="N19" i="14"/>
  <c r="N18" i="14"/>
  <c r="N17" i="14"/>
  <c r="P17" i="14"/>
  <c r="R17" i="14"/>
  <c r="M18" i="14"/>
  <c r="O17" i="14"/>
  <c r="Q17" i="14"/>
  <c r="M19" i="14"/>
  <c r="M17" i="14"/>
  <c r="Q18" i="14"/>
  <c r="Q19" i="14"/>
  <c r="O18" i="14"/>
  <c r="O19" i="14"/>
  <c r="O2" i="9"/>
  <c r="B4" i="9" l="1"/>
  <c r="G30" i="14"/>
  <c r="F30" i="14"/>
  <c r="E30" i="14"/>
  <c r="D30" i="14"/>
  <c r="C30" i="14"/>
  <c r="B30" i="14"/>
  <c r="F25" i="11"/>
  <c r="G25" i="11" s="1"/>
  <c r="E25" i="11"/>
  <c r="C29" i="11"/>
  <c r="E29" i="11" s="1"/>
  <c r="F29" i="11" s="1"/>
  <c r="G29" i="11" s="1"/>
  <c r="C30" i="11"/>
  <c r="E30" i="11" s="1"/>
  <c r="F30" i="11" s="1"/>
  <c r="G30" i="11" s="1"/>
  <c r="C26" i="11"/>
  <c r="E26" i="11" s="1"/>
  <c r="F26" i="11" s="1"/>
  <c r="G26" i="11" s="1"/>
  <c r="B28" i="11"/>
  <c r="C28" i="11" s="1"/>
  <c r="E28" i="11" s="1"/>
  <c r="F28" i="11" s="1"/>
  <c r="G28" i="11" s="1"/>
  <c r="B27" i="11"/>
  <c r="C27" i="11" s="1"/>
  <c r="E27" i="11" s="1"/>
  <c r="F27" i="11" s="1"/>
  <c r="G27" i="11" s="1"/>
  <c r="B26" i="11"/>
  <c r="C4" i="14"/>
  <c r="D4" i="14"/>
  <c r="E4" i="14"/>
  <c r="F4" i="14"/>
  <c r="G4" i="14"/>
  <c r="B4" i="14"/>
  <c r="B14" i="15"/>
  <c r="B15" i="15"/>
  <c r="B16" i="15"/>
  <c r="B13" i="15"/>
  <c r="B12" i="15"/>
  <c r="B8" i="15"/>
  <c r="C8" i="15"/>
  <c r="D8" i="15"/>
  <c r="C36" i="11"/>
  <c r="G36" i="11"/>
  <c r="F36" i="11"/>
  <c r="E36" i="11"/>
  <c r="D36" i="11"/>
  <c r="B23" i="14"/>
  <c r="C23" i="14"/>
  <c r="D23" i="14"/>
  <c r="E23" i="14"/>
  <c r="F23" i="14"/>
  <c r="G23" i="14"/>
  <c r="E46" i="8"/>
  <c r="E46" i="10"/>
  <c r="B30" i="9" l="1"/>
  <c r="G2" i="9"/>
  <c r="B27" i="9"/>
  <c r="B31" i="9"/>
  <c r="B33" i="9"/>
  <c r="B29" i="9"/>
  <c r="B34" i="9"/>
  <c r="B32" i="9"/>
  <c r="B28" i="9"/>
  <c r="C20" i="12"/>
  <c r="E47" i="10"/>
  <c r="E47" i="8"/>
  <c r="B35" i="9" l="1"/>
  <c r="B36" i="9" s="1"/>
  <c r="C9" i="12"/>
  <c r="C10" i="12"/>
  <c r="C11" i="12"/>
  <c r="C12" i="12"/>
  <c r="C13" i="12"/>
  <c r="C14" i="12"/>
  <c r="C15" i="12"/>
  <c r="C16" i="12"/>
  <c r="C17" i="12"/>
  <c r="C18" i="12"/>
  <c r="C19" i="12"/>
  <c r="C3" i="12"/>
  <c r="C4" i="12"/>
  <c r="C5" i="12"/>
  <c r="C6" i="12"/>
  <c r="C7" i="12"/>
  <c r="C8" i="12"/>
  <c r="C2" i="12"/>
  <c r="C24" i="14" l="1"/>
  <c r="E24" i="14"/>
  <c r="G24" i="14"/>
  <c r="D24" i="14"/>
  <c r="F24" i="14"/>
  <c r="B19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2" i="12"/>
  <c r="B24" i="14" l="1"/>
  <c r="C9" i="11"/>
  <c r="D9" i="11"/>
  <c r="B9" i="11"/>
  <c r="E43" i="10"/>
  <c r="E41" i="10"/>
  <c r="E39" i="10"/>
  <c r="E37" i="10"/>
  <c r="E35" i="10"/>
  <c r="E33" i="10"/>
  <c r="E31" i="10"/>
  <c r="E29" i="10"/>
  <c r="E27" i="10"/>
  <c r="E26" i="10"/>
  <c r="E25" i="10"/>
  <c r="E24" i="10"/>
  <c r="E21" i="10"/>
  <c r="E19" i="10"/>
  <c r="E18" i="10"/>
  <c r="E17" i="10"/>
  <c r="E16" i="10"/>
  <c r="E15" i="10"/>
  <c r="E12" i="10"/>
  <c r="E11" i="10"/>
  <c r="E10" i="10"/>
  <c r="E9" i="10"/>
  <c r="E6" i="10"/>
  <c r="E4" i="10"/>
  <c r="E2" i="10"/>
  <c r="C43" i="10"/>
  <c r="C39" i="10"/>
  <c r="C37" i="10"/>
  <c r="C35" i="10"/>
  <c r="C33" i="10"/>
  <c r="C31" i="10"/>
  <c r="C29" i="10"/>
  <c r="C27" i="10"/>
  <c r="C26" i="10"/>
  <c r="C25" i="10"/>
  <c r="C24" i="10"/>
  <c r="C21" i="10"/>
  <c r="C19" i="10"/>
  <c r="C18" i="10"/>
  <c r="C17" i="10"/>
  <c r="C16" i="10"/>
  <c r="C15" i="10"/>
  <c r="C12" i="10"/>
  <c r="C11" i="10"/>
  <c r="C10" i="10"/>
  <c r="C9" i="10"/>
  <c r="C4" i="10"/>
  <c r="C2" i="10"/>
  <c r="E6" i="8"/>
  <c r="E41" i="8"/>
  <c r="E43" i="8"/>
  <c r="E39" i="8"/>
  <c r="E37" i="8"/>
  <c r="E35" i="8"/>
  <c r="E33" i="8"/>
  <c r="E31" i="8"/>
  <c r="E29" i="8"/>
  <c r="E25" i="8"/>
  <c r="E26" i="8"/>
  <c r="E27" i="8"/>
  <c r="E24" i="8"/>
  <c r="E21" i="8"/>
  <c r="E16" i="8"/>
  <c r="E17" i="8"/>
  <c r="E18" i="8"/>
  <c r="E19" i="8"/>
  <c r="E15" i="8"/>
  <c r="E12" i="8"/>
  <c r="E11" i="8"/>
  <c r="E10" i="8"/>
  <c r="E9" i="8"/>
  <c r="E4" i="8"/>
  <c r="E2" i="8"/>
  <c r="C43" i="8"/>
  <c r="C39" i="8"/>
  <c r="C37" i="8"/>
  <c r="C35" i="8"/>
  <c r="C33" i="8"/>
  <c r="C31" i="8"/>
  <c r="C29" i="8"/>
  <c r="C27" i="8"/>
  <c r="C26" i="8"/>
  <c r="C25" i="8"/>
  <c r="C24" i="8"/>
  <c r="C21" i="8"/>
  <c r="C19" i="8"/>
  <c r="C18" i="8"/>
  <c r="C17" i="8"/>
  <c r="C16" i="8"/>
  <c r="C15" i="8"/>
  <c r="C12" i="8"/>
  <c r="C11" i="8"/>
  <c r="C10" i="8"/>
  <c r="C9" i="8"/>
  <c r="C4" i="8"/>
  <c r="C2" i="8"/>
  <c r="E45" i="10" l="1"/>
  <c r="E45" i="8"/>
</calcChain>
</file>

<file path=xl/sharedStrings.xml><?xml version="1.0" encoding="utf-8"?>
<sst xmlns="http://schemas.openxmlformats.org/spreadsheetml/2006/main" count="430" uniqueCount="199">
  <si>
    <t>Other Plastics</t>
  </si>
  <si>
    <t>Materials (Managed)</t>
  </si>
  <si>
    <t>Material Residues</t>
  </si>
  <si>
    <t>Density of Material (pre sorting)</t>
  </si>
  <si>
    <t>Newsprint - CNA/OCNA</t>
  </si>
  <si>
    <t>Newsprint - Non-CNA/OCNA</t>
  </si>
  <si>
    <t>Magazines and Catalogues</t>
  </si>
  <si>
    <t>Telephone Books</t>
  </si>
  <si>
    <t>Other Printed Paper</t>
  </si>
  <si>
    <t>Corrugated Cardboard</t>
  </si>
  <si>
    <t>Boxboard</t>
  </si>
  <si>
    <t>Gable Top Cartons</t>
  </si>
  <si>
    <t>Paper Laminates</t>
  </si>
  <si>
    <t>Aseptic Containers</t>
  </si>
  <si>
    <t>PET Bottles</t>
  </si>
  <si>
    <t>HDPE Bottles</t>
  </si>
  <si>
    <t>Plastic Film</t>
  </si>
  <si>
    <t>Plastic Laminates</t>
  </si>
  <si>
    <t>Polystyrene</t>
  </si>
  <si>
    <t>Steel Food &amp; Beverage Cans</t>
  </si>
  <si>
    <t>Steel Aerosols</t>
  </si>
  <si>
    <t>Steel Paint Cans</t>
  </si>
  <si>
    <t>Aluminum Food &amp; Beverage Cans</t>
  </si>
  <si>
    <t>Other Aluminum Packaging</t>
  </si>
  <si>
    <t>Clear Glass</t>
  </si>
  <si>
    <t>Coloured Glass</t>
  </si>
  <si>
    <t>Sort Stream</t>
  </si>
  <si>
    <t>Manually</t>
  </si>
  <si>
    <t>By Machine</t>
  </si>
  <si>
    <t>Is Material Negatively Sorted?</t>
  </si>
  <si>
    <t>Yes</t>
  </si>
  <si>
    <t>No</t>
  </si>
  <si>
    <t>Materials Managed</t>
  </si>
  <si>
    <t>Sorter</t>
  </si>
  <si>
    <t>Number of Sorters</t>
  </si>
  <si>
    <t>PRIMARY SORT</t>
  </si>
  <si>
    <t>SECONDARY SORT</t>
  </si>
  <si>
    <t>Total Sorters Allocated</t>
  </si>
  <si>
    <t>PIECE OF EQUIPMENT</t>
  </si>
  <si>
    <t>Materials managed</t>
  </si>
  <si>
    <t>Name of Sorting Station</t>
  </si>
  <si>
    <t>Magnet</t>
  </si>
  <si>
    <t>Eddy Current</t>
  </si>
  <si>
    <t>Optical Sorter</t>
  </si>
  <si>
    <t>Trommel</t>
  </si>
  <si>
    <t>Vibrating Screen</t>
  </si>
  <si>
    <t>Air Knife</t>
  </si>
  <si>
    <t>Ballistic Seperator</t>
  </si>
  <si>
    <t>Conveyor Belt</t>
  </si>
  <si>
    <t>Vertical Baler</t>
  </si>
  <si>
    <t>2 Ram Baler</t>
  </si>
  <si>
    <t>1 Ram Baler</t>
  </si>
  <si>
    <t>Equipment</t>
  </si>
  <si>
    <t>Plastic Granulator</t>
  </si>
  <si>
    <t>Glass Crusher</t>
  </si>
  <si>
    <t>Benchmark (Standard sorting Rate) kg per hour)</t>
  </si>
  <si>
    <t>Sorters</t>
  </si>
  <si>
    <t>Machines</t>
  </si>
  <si>
    <t>Item</t>
  </si>
  <si>
    <t>$/unit</t>
  </si>
  <si>
    <t># of Units</t>
  </si>
  <si>
    <t>Cost</t>
  </si>
  <si>
    <t>Site work</t>
  </si>
  <si>
    <t>Fencing</t>
  </si>
  <si>
    <t>Landscaping</t>
  </si>
  <si>
    <t>Formwork</t>
  </si>
  <si>
    <t>-Expansion Joints</t>
  </si>
  <si>
    <t>-Braces</t>
  </si>
  <si>
    <t>-r/f for footings</t>
  </si>
  <si>
    <t>-Barchairs</t>
  </si>
  <si>
    <t>Concrete</t>
  </si>
  <si>
    <t>-slab</t>
  </si>
  <si>
    <t>-Footings</t>
  </si>
  <si>
    <t>-Floor Hardner</t>
  </si>
  <si>
    <t>-Loading Docts</t>
  </si>
  <si>
    <t>-Curing</t>
  </si>
  <si>
    <t>Roof and Siding Including Framework</t>
  </si>
  <si>
    <t>Metal Fabrications</t>
  </si>
  <si>
    <t>-Stairs</t>
  </si>
  <si>
    <t>-Railing</t>
  </si>
  <si>
    <t>-Steel Deck</t>
  </si>
  <si>
    <t>-Doors</t>
  </si>
  <si>
    <t>Electrical</t>
  </si>
  <si>
    <t>Offices and Sorting Room</t>
  </si>
  <si>
    <t>Pavement</t>
  </si>
  <si>
    <t>Storage area netting</t>
  </si>
  <si>
    <t>Scale house</t>
  </si>
  <si>
    <t>Painting</t>
  </si>
  <si>
    <t>Fire Protection</t>
  </si>
  <si>
    <t>Security Gates</t>
  </si>
  <si>
    <t>Total Cost:</t>
  </si>
  <si>
    <t>Total Cost ($/sq ft)</t>
  </si>
  <si>
    <t>Employee Categories</t>
  </si>
  <si>
    <t>Manager</t>
  </si>
  <si>
    <t>Foreman/Operator</t>
  </si>
  <si>
    <t>Maintenance</t>
  </si>
  <si>
    <t>other (rolling stock operators, clean up staff etc)</t>
  </si>
  <si>
    <t>Administrative (scale monitors, book keepers)</t>
  </si>
  <si>
    <t>Capacity (TPD)</t>
  </si>
  <si>
    <t>Total Number of Employees</t>
  </si>
  <si>
    <t>Labor Costs</t>
  </si>
  <si>
    <t xml:space="preserve">                                                                                                                                                                             </t>
  </si>
  <si>
    <t>Material</t>
  </si>
  <si>
    <t>Feed Line</t>
  </si>
  <si>
    <t>Conveyor Belt (Containers)</t>
  </si>
  <si>
    <t>Conveyor Belt (Paper Fibers)</t>
  </si>
  <si>
    <t>Dual Eject Optical Sorter</t>
  </si>
  <si>
    <t>Cost of Bins</t>
  </si>
  <si>
    <t>Rolling Stock</t>
  </si>
  <si>
    <t>Working Assumptions</t>
  </si>
  <si>
    <t>Days/Hours</t>
  </si>
  <si>
    <t>Number of working days per year</t>
  </si>
  <si>
    <t>Length of working day</t>
  </si>
  <si>
    <t>Number of shifts per day</t>
  </si>
  <si>
    <t>Fixed Cost</t>
  </si>
  <si>
    <t>50/TPD</t>
  </si>
  <si>
    <t>Installation</t>
  </si>
  <si>
    <t>1/TPD</t>
  </si>
  <si>
    <t>WA TPD</t>
  </si>
  <si>
    <t>$/TPD</t>
  </si>
  <si>
    <t>Annual Incoming Tonnes</t>
  </si>
  <si>
    <t>INPUTS</t>
  </si>
  <si>
    <t>OUTPUTS</t>
  </si>
  <si>
    <t>Number of Streams</t>
  </si>
  <si>
    <t>Single</t>
  </si>
  <si>
    <t>Dual</t>
  </si>
  <si>
    <t>Building amortization period</t>
  </si>
  <si>
    <t>Equipment amortization period</t>
  </si>
  <si>
    <t>Rolling stock amortizaiton period</t>
  </si>
  <si>
    <t>Single Stream Small</t>
  </si>
  <si>
    <t>Dual Stream Small</t>
  </si>
  <si>
    <t>Single Stream Medium</t>
  </si>
  <si>
    <t>Dual Stream Medium</t>
  </si>
  <si>
    <t>Single Stream Large</t>
  </si>
  <si>
    <t>Dual Stream Large</t>
  </si>
  <si>
    <t xml:space="preserve">Tonnes Threshold </t>
  </si>
  <si>
    <t>Total Cost ($/sq m)</t>
  </si>
  <si>
    <t>Building Cost TPD</t>
  </si>
  <si>
    <t>Equipment Cost TPD</t>
  </si>
  <si>
    <t>Rolling Stock TPD</t>
  </si>
  <si>
    <t>Labor Cost TPD</t>
  </si>
  <si>
    <t>Building Insurance Cost TPD</t>
  </si>
  <si>
    <t>Taxes TPD</t>
  </si>
  <si>
    <t>Residual Disposal Cost TPD</t>
  </si>
  <si>
    <t>Average Equipment  $/TPD</t>
  </si>
  <si>
    <t>Single vs Dual Stream</t>
  </si>
  <si>
    <t>Total TPD</t>
  </si>
  <si>
    <t>Interest Rate</t>
  </si>
  <si>
    <t>Marginal Manager Per Tonne</t>
  </si>
  <si>
    <t>Marginal Foreman/Operator Per Tonne</t>
  </si>
  <si>
    <t>Marginal Sorter Per Tonne</t>
  </si>
  <si>
    <t>Marginal Maintenance Per Tonne</t>
  </si>
  <si>
    <t>Marginal other (rolling stock operators, clean up staff etc)</t>
  </si>
  <si>
    <t>Marginal Administrative (scale monitors, book keepers)</t>
  </si>
  <si>
    <t>Tonnes TPD</t>
  </si>
  <si>
    <t>Marginal Worker Per Tonne</t>
  </si>
  <si>
    <t>Labor Required</t>
  </si>
  <si>
    <t># of Hours Worked</t>
  </si>
  <si>
    <t>Total Hours Per Day</t>
  </si>
  <si>
    <t>Total Labor Costs Per Day</t>
  </si>
  <si>
    <t>Labor Costs Per Year</t>
  </si>
  <si>
    <t>Annual Building OM Cost</t>
  </si>
  <si>
    <t>Classification</t>
  </si>
  <si>
    <t xml:space="preserve">Annual Building Cost </t>
  </si>
  <si>
    <t xml:space="preserve">Annual Equipment Cost </t>
  </si>
  <si>
    <t xml:space="preserve">Annual Rolling Stock </t>
  </si>
  <si>
    <t xml:space="preserve">Annual Labor Cost </t>
  </si>
  <si>
    <t>Annual Building Insurance Cost</t>
  </si>
  <si>
    <t xml:space="preserve">Annual Taxes </t>
  </si>
  <si>
    <t xml:space="preserve">Annual Residual Disposal Cost </t>
  </si>
  <si>
    <t>Annual Total Cost</t>
  </si>
  <si>
    <t>DESCRIPTION AND ASSUMPTIONS</t>
  </si>
  <si>
    <t>Picture 7</t>
  </si>
  <si>
    <t>Picture 8</t>
  </si>
  <si>
    <t>Picture 1</t>
  </si>
  <si>
    <t>Picture 2</t>
  </si>
  <si>
    <t>Picture 3</t>
  </si>
  <si>
    <t>Picture 4</t>
  </si>
  <si>
    <t>Picture 5</t>
  </si>
  <si>
    <t>Picture 6</t>
  </si>
  <si>
    <t>PROCESS FLOW DIAGRAM</t>
  </si>
  <si>
    <t xml:space="preserve">into blocks which can easily be stacked and transported. The blocks of recyclables that come out of balers vary in size and weight depending on how big of a baler you have. There are many </t>
  </si>
  <si>
    <t xml:space="preserve">different kinds of balers, but balers used specifically for recyclables are usually called “vertical” balers. </t>
  </si>
  <si>
    <r>
      <rPr>
        <b/>
        <sz val="11"/>
        <color theme="1"/>
        <rFont val="Calibri"/>
        <family val="2"/>
        <scheme val="minor"/>
      </rPr>
      <t>Balers:</t>
    </r>
    <r>
      <rPr>
        <sz val="11"/>
        <color theme="1"/>
        <rFont val="Calibri"/>
        <family val="2"/>
        <scheme val="minor"/>
      </rPr>
      <t xml:space="preserve"> Recycling balers are used to compact recyclables such as aluminum, cardboard, paper, and plastic into blocks which can easily be stacked and transported. The blocks of recyclables that come </t>
    </r>
  </si>
  <si>
    <r>
      <rPr>
        <b/>
        <sz val="11"/>
        <color theme="1"/>
        <rFont val="Calibri"/>
        <family val="2"/>
        <scheme val="minor"/>
      </rPr>
      <t>Trommel:</t>
    </r>
    <r>
      <rPr>
        <sz val="11"/>
        <color theme="1"/>
        <rFont val="Calibri"/>
        <family val="2"/>
        <scheme val="minor"/>
      </rPr>
      <t xml:space="preserve"> A trommel is used to remove grit and broken glass from recyclables before they enter the sorting room</t>
    </r>
  </si>
  <si>
    <r>
      <rPr>
        <b/>
        <sz val="11"/>
        <color theme="1"/>
        <rFont val="Calibri"/>
        <family val="2"/>
        <scheme val="minor"/>
      </rPr>
      <t xml:space="preserve">Eddy Current: </t>
    </r>
    <r>
      <rPr>
        <sz val="11"/>
        <color theme="1"/>
        <rFont val="Calibri"/>
        <family val="2"/>
        <scheme val="minor"/>
      </rPr>
      <t xml:space="preserve"> Electric currents induced within conductors by a changing magnetic field in the conductor. Allows for separation of aluminum products in a recycling facility</t>
    </r>
  </si>
  <si>
    <r>
      <rPr>
        <b/>
        <sz val="11"/>
        <color theme="1"/>
        <rFont val="Calibri"/>
        <family val="2"/>
        <scheme val="minor"/>
      </rPr>
      <t xml:space="preserve">Ferrous Magnet: </t>
    </r>
    <r>
      <rPr>
        <sz val="11"/>
        <color theme="1"/>
        <rFont val="Calibri"/>
        <family val="2"/>
        <scheme val="minor"/>
      </rPr>
      <t>Magnet used to separate out ferrous metals (i.e. steel) in a material recovery facility</t>
    </r>
  </si>
  <si>
    <t>Cost Per Tonne</t>
  </si>
  <si>
    <t>COST CURVES</t>
  </si>
  <si>
    <t>Large Urban</t>
  </si>
  <si>
    <t>Urban Regional</t>
  </si>
  <si>
    <t>Medium Urban</t>
  </si>
  <si>
    <t>Small Urban</t>
  </si>
  <si>
    <t>Rural Regional</t>
  </si>
  <si>
    <t>Rural Collection - North</t>
  </si>
  <si>
    <t>Rural Collection South</t>
  </si>
  <si>
    <t>Rural Depot North</t>
  </si>
  <si>
    <t>Rural Depot South</t>
  </si>
  <si>
    <t>Can Be Supported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</si>
</sst>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0\ \ &quot;kg/m3&quot;"/>
    <numFmt numFmtId="165" formatCode="##,##0\ \ &quot;kg per hour&quot;"/>
    <numFmt numFmtId="166" formatCode="&quot;$&quot;##,##0\ \ &quot;per sq. ft&quot;"/>
    <numFmt numFmtId="167" formatCode="&quot;$&quot;##,##0.00\ \ &quot;per sq. ft&quot;"/>
    <numFmt numFmtId="168" formatCode="&quot;$&quot;#,##0.00"/>
    <numFmt numFmtId="169" formatCode="&quot;$&quot;##,##0.0\ \ &quot;per ft&quot;"/>
    <numFmt numFmtId="170" formatCode="&quot;$&quot;##,##0.0\ \ &quot;each&quot;"/>
    <numFmt numFmtId="171" formatCode="&quot;$&quot;##,##0\ \ &quot;per cu. yd&quot;"/>
    <numFmt numFmtId="172" formatCode="&quot;$&quot;##,##0\ \ &quot;per riser&quot;"/>
    <numFmt numFmtId="173" formatCode="&quot;$&quot;##,##0\ \ &quot;per ft&quot;"/>
    <numFmt numFmtId="174" formatCode="&quot;$&quot;##,##0\ \ &quot;each&quot;"/>
    <numFmt numFmtId="175" formatCode="&quot;$&quot;##,##0.00\ \ &quot;per sq. m&quot;"/>
    <numFmt numFmtId="176" formatCode="&quot;$&quot;##,##0.000\ \ &quot;per 1000 ft&quot;"/>
    <numFmt numFmtId="177" formatCode="&quot;$&quot;##,##0\ \ &quot;per tonne&quot;"/>
    <numFmt numFmtId="178" formatCode="&quot;$&quot;##,##0.00\ \ &quot;per 100 cu. yd&quot;"/>
    <numFmt numFmtId="179" formatCode="##,##0\ \ &quot;TPD&quot;"/>
    <numFmt numFmtId="180" formatCode="&quot;$&quot;##,##0\ \ &quot;per hour&quot;"/>
    <numFmt numFmtId="181" formatCode="_-&quot;$&quot;* #,##0_-;\-&quot;$&quot;* #,##0_-;_-&quot;$&quot;* &quot;-&quot;??_-;_-@_-"/>
    <numFmt numFmtId="182" formatCode="##,##0\ \ &quot;T&quot;"/>
    <numFmt numFmtId="183" formatCode="##,##0\ \ &quot;Years&quot;"/>
    <numFmt numFmtId="184" formatCode="##,##0.00\ \ &quot;TPD&quot;"/>
    <numFmt numFmtId="185" formatCode="##,##0.0\ \ &quot;hours&quot;"/>
    <numFmt numFmtId="186" formatCode="_(* #,##0.00_);_(* \(#,##0.00\);_(* &quot;-&quot;??_);_(@_)"/>
    <numFmt numFmtId="187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Marlett"/>
      <charset val="2"/>
    </font>
  </fonts>
  <fills count="2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8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86" fontId="9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4" fillId="23" borderId="17" applyNumberFormat="0" applyAlignment="0" applyProtection="0"/>
    <xf numFmtId="43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0" fillId="25" borderId="22" applyNumberFormat="0" applyFont="0" applyAlignment="0" applyProtection="0"/>
    <xf numFmtId="0" fontId="10" fillId="25" borderId="22" applyNumberFormat="0" applyFont="0" applyAlignment="0" applyProtection="0"/>
    <xf numFmtId="0" fontId="10" fillId="25" borderId="22" applyNumberFormat="0" applyFont="0" applyAlignment="0" applyProtection="0"/>
    <xf numFmtId="0" fontId="10" fillId="25" borderId="22" applyNumberFormat="0" applyFont="0" applyAlignment="0" applyProtection="0"/>
    <xf numFmtId="0" fontId="9" fillId="25" borderId="22" applyNumberFormat="0" applyFont="0" applyAlignment="0" applyProtection="0"/>
    <xf numFmtId="0" fontId="9" fillId="25" borderId="22" applyNumberFormat="0" applyFont="0" applyAlignment="0" applyProtection="0"/>
    <xf numFmtId="0" fontId="24" fillId="22" borderId="23" applyNumberFormat="0" applyAlignment="0" applyProtection="0"/>
    <xf numFmtId="0" fontId="24" fillId="22" borderId="23" applyNumberFormat="0" applyAlignment="0" applyProtection="0"/>
    <xf numFmtId="0" fontId="24" fillId="22" borderId="23" applyNumberFormat="0" applyAlignment="0" applyProtection="0"/>
    <xf numFmtId="0" fontId="24" fillId="22" borderId="2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3" borderId="3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0" borderId="5" xfId="0" applyBorder="1"/>
    <xf numFmtId="0" fontId="0" fillId="2" borderId="3" xfId="0" applyFill="1" applyBorder="1"/>
    <xf numFmtId="0" fontId="0" fillId="2" borderId="4" xfId="0" applyFill="1" applyBorder="1"/>
    <xf numFmtId="164" fontId="0" fillId="0" borderId="5" xfId="0" applyNumberFormat="1" applyBorder="1"/>
    <xf numFmtId="164" fontId="0" fillId="0" borderId="3" xfId="0" applyNumberFormat="1" applyBorder="1"/>
    <xf numFmtId="164" fontId="0" fillId="2" borderId="3" xfId="0" applyNumberForma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8" xfId="0" applyFont="1" applyFill="1" applyBorder="1"/>
    <xf numFmtId="0" fontId="0" fillId="0" borderId="8" xfId="0" applyBorder="1" applyAlignment="1">
      <alignment horizontal="center"/>
    </xf>
    <xf numFmtId="0" fontId="0" fillId="3" borderId="8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/>
    <xf numFmtId="0" fontId="1" fillId="0" borderId="0" xfId="0" applyFont="1"/>
    <xf numFmtId="49" fontId="0" fillId="0" borderId="0" xfId="0" applyNumberFormat="1"/>
    <xf numFmtId="0" fontId="0" fillId="2" borderId="0" xfId="0" applyFill="1"/>
    <xf numFmtId="44" fontId="0" fillId="0" borderId="0" xfId="1" applyFont="1"/>
    <xf numFmtId="168" fontId="0" fillId="0" borderId="0" xfId="0" applyNumberFormat="1"/>
    <xf numFmtId="49" fontId="0" fillId="2" borderId="1" xfId="0" applyNumberFormat="1" applyFill="1" applyBorder="1"/>
    <xf numFmtId="44" fontId="0" fillId="2" borderId="1" xfId="1" applyFont="1" applyFill="1" applyBorder="1"/>
    <xf numFmtId="49" fontId="0" fillId="0" borderId="1" xfId="0" applyNumberFormat="1" applyBorder="1"/>
    <xf numFmtId="167" fontId="0" fillId="0" borderId="1" xfId="1" applyNumberFormat="1" applyFont="1" applyBorder="1"/>
    <xf numFmtId="168" fontId="0" fillId="0" borderId="1" xfId="0" applyNumberFormat="1" applyBorder="1"/>
    <xf numFmtId="44" fontId="0" fillId="0" borderId="1" xfId="1" applyFont="1" applyBorder="1"/>
    <xf numFmtId="49" fontId="6" fillId="0" borderId="1" xfId="0" applyNumberFormat="1" applyFont="1" applyBorder="1"/>
    <xf numFmtId="49" fontId="0" fillId="0" borderId="1" xfId="0" applyNumberFormat="1" applyBorder="1" applyAlignment="1">
      <alignment wrapText="1"/>
    </xf>
    <xf numFmtId="0" fontId="0" fillId="3" borderId="0" xfId="0" applyFill="1"/>
    <xf numFmtId="49" fontId="7" fillId="2" borderId="1" xfId="0" applyNumberFormat="1" applyFont="1" applyFill="1" applyBorder="1"/>
    <xf numFmtId="44" fontId="7" fillId="2" borderId="1" xfId="1" applyFont="1" applyFill="1" applyBorder="1"/>
    <xf numFmtId="0" fontId="7" fillId="2" borderId="1" xfId="0" applyFont="1" applyFill="1" applyBorder="1"/>
    <xf numFmtId="169" fontId="0" fillId="0" borderId="1" xfId="1" applyNumberFormat="1" applyFont="1" applyBorder="1"/>
    <xf numFmtId="170" fontId="0" fillId="0" borderId="1" xfId="1" applyNumberFormat="1" applyFont="1" applyBorder="1"/>
    <xf numFmtId="171" fontId="0" fillId="0" borderId="1" xfId="1" applyNumberFormat="1" applyFont="1" applyBorder="1"/>
    <xf numFmtId="172" fontId="0" fillId="0" borderId="1" xfId="1" applyNumberFormat="1" applyFont="1" applyBorder="1"/>
    <xf numFmtId="173" fontId="0" fillId="0" borderId="1" xfId="1" applyNumberFormat="1" applyFont="1" applyBorder="1"/>
    <xf numFmtId="166" fontId="0" fillId="0" borderId="1" xfId="1" applyNumberFormat="1" applyFont="1" applyBorder="1" applyAlignment="1"/>
    <xf numFmtId="174" fontId="0" fillId="0" borderId="1" xfId="1" applyNumberFormat="1" applyFont="1" applyBorder="1"/>
    <xf numFmtId="166" fontId="0" fillId="0" borderId="1" xfId="1" applyNumberFormat="1" applyFont="1" applyBorder="1"/>
    <xf numFmtId="175" fontId="0" fillId="0" borderId="1" xfId="1" applyNumberFormat="1" applyFont="1" applyBorder="1"/>
    <xf numFmtId="176" fontId="0" fillId="0" borderId="1" xfId="1" applyNumberFormat="1" applyFont="1" applyBorder="1"/>
    <xf numFmtId="177" fontId="0" fillId="0" borderId="1" xfId="1" applyNumberFormat="1" applyFont="1" applyBorder="1"/>
    <xf numFmtId="178" fontId="0" fillId="0" borderId="1" xfId="1" applyNumberFormat="1" applyFont="1" applyBorder="1"/>
    <xf numFmtId="0" fontId="8" fillId="3" borderId="0" xfId="0" applyFont="1" applyFill="1"/>
    <xf numFmtId="0" fontId="1" fillId="0" borderId="1" xfId="0" applyFont="1" applyBorder="1"/>
    <xf numFmtId="0" fontId="1" fillId="2" borderId="5" xfId="0" applyFont="1" applyFill="1" applyBorder="1"/>
    <xf numFmtId="0" fontId="1" fillId="2" borderId="1" xfId="0" applyFont="1" applyFill="1" applyBorder="1"/>
    <xf numFmtId="180" fontId="0" fillId="0" borderId="1" xfId="0" applyNumberFormat="1" applyBorder="1"/>
    <xf numFmtId="0" fontId="1" fillId="0" borderId="1" xfId="0" applyFont="1" applyBorder="1" applyAlignment="1">
      <alignment horizontal="center"/>
    </xf>
    <xf numFmtId="181" fontId="0" fillId="0" borderId="0" xfId="1" applyNumberFormat="1" applyFont="1"/>
    <xf numFmtId="3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79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>
      <alignment wrapText="1"/>
    </xf>
    <xf numFmtId="179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181" fontId="1" fillId="0" borderId="0" xfId="0" applyNumberFormat="1" applyFont="1"/>
    <xf numFmtId="182" fontId="0" fillId="0" borderId="0" xfId="0" applyNumberFormat="1"/>
    <xf numFmtId="182" fontId="1" fillId="0" borderId="0" xfId="0" applyNumberFormat="1" applyFont="1"/>
    <xf numFmtId="44" fontId="0" fillId="0" borderId="0" xfId="0" applyNumberFormat="1"/>
    <xf numFmtId="8" fontId="0" fillId="0" borderId="0" xfId="1" applyNumberFormat="1" applyFont="1"/>
    <xf numFmtId="184" fontId="0" fillId="0" borderId="0" xfId="0" applyNumberFormat="1"/>
    <xf numFmtId="0" fontId="0" fillId="0" borderId="0" xfId="0" applyBorder="1"/>
    <xf numFmtId="185" fontId="0" fillId="0" borderId="0" xfId="0" applyNumberFormat="1"/>
    <xf numFmtId="0" fontId="7" fillId="2" borderId="8" xfId="0" applyFont="1" applyFill="1" applyBorder="1"/>
    <xf numFmtId="0" fontId="4" fillId="2" borderId="2" xfId="0" applyFont="1" applyFill="1" applyBorder="1"/>
    <xf numFmtId="0" fontId="4" fillId="3" borderId="10" xfId="0" applyFont="1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3" xfId="0" applyFill="1" applyBorder="1"/>
    <xf numFmtId="44" fontId="4" fillId="3" borderId="11" xfId="0" applyNumberFormat="1" applyFont="1" applyFill="1" applyBorder="1"/>
    <xf numFmtId="0" fontId="1" fillId="3" borderId="12" xfId="0" applyFont="1" applyFill="1" applyBorder="1"/>
    <xf numFmtId="0" fontId="0" fillId="3" borderId="0" xfId="0" applyFill="1" applyBorder="1"/>
    <xf numFmtId="0" fontId="0" fillId="3" borderId="15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6" xfId="0" applyFill="1" applyBorder="1"/>
    <xf numFmtId="0" fontId="1" fillId="2" borderId="14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2" xfId="0" applyFill="1" applyBorder="1"/>
    <xf numFmtId="0" fontId="8" fillId="3" borderId="10" xfId="0" applyFont="1" applyFill="1" applyBorder="1"/>
    <xf numFmtId="0" fontId="0" fillId="3" borderId="10" xfId="0" applyFont="1" applyFill="1" applyBorder="1"/>
    <xf numFmtId="44" fontId="0" fillId="3" borderId="11" xfId="0" applyNumberFormat="1" applyFont="1" applyFill="1" applyBorder="1"/>
    <xf numFmtId="44" fontId="1" fillId="3" borderId="13" xfId="0" applyNumberFormat="1" applyFont="1" applyFill="1" applyBorder="1"/>
    <xf numFmtId="0" fontId="1" fillId="3" borderId="10" xfId="0" applyFont="1" applyFill="1" applyBorder="1"/>
    <xf numFmtId="44" fontId="1" fillId="3" borderId="11" xfId="0" applyNumberFormat="1" applyFont="1" applyFill="1" applyBorder="1"/>
    <xf numFmtId="0" fontId="2" fillId="2" borderId="0" xfId="0" applyFont="1" applyFill="1"/>
    <xf numFmtId="182" fontId="4" fillId="3" borderId="11" xfId="0" applyNumberFormat="1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83" fontId="4" fillId="3" borderId="11" xfId="0" applyNumberFormat="1" applyFont="1" applyFill="1" applyBorder="1" applyAlignment="1" applyProtection="1">
      <alignment horizontal="center"/>
      <protection locked="0"/>
    </xf>
    <xf numFmtId="9" fontId="4" fillId="3" borderId="11" xfId="2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Protection="1">
      <protection locked="0"/>
    </xf>
    <xf numFmtId="0" fontId="0" fillId="3" borderId="11" xfId="0" applyFill="1" applyBorder="1" applyProtection="1"/>
    <xf numFmtId="0" fontId="1" fillId="3" borderId="0" xfId="0" applyFont="1" applyFill="1"/>
    <xf numFmtId="0" fontId="28" fillId="3" borderId="11" xfId="0" applyFont="1" applyFill="1" applyBorder="1" applyProtection="1"/>
    <xf numFmtId="0" fontId="0" fillId="3" borderId="14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8" xfId="0" applyBorder="1" applyAlignment="1"/>
    <xf numFmtId="0" fontId="0" fillId="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 applyAlignment="1">
      <alignment vertical="center" textRotation="180" wrapText="1"/>
    </xf>
    <xf numFmtId="0" fontId="2" fillId="0" borderId="3" xfId="0" applyFont="1" applyBorder="1" applyAlignment="1">
      <alignment vertical="center" textRotation="180" wrapText="1"/>
    </xf>
    <xf numFmtId="0" fontId="2" fillId="0" borderId="4" xfId="0" applyFont="1" applyBorder="1" applyAlignment="1">
      <alignment vertical="center" textRotation="180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2" xfId="0" applyFont="1" applyFill="1" applyBorder="1" applyAlignment="1"/>
  </cellXfs>
  <cellStyles count="178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5 3" xfId="27"/>
    <cellStyle name="40% - Accent6 2" xfId="28"/>
    <cellStyle name="40% - Accent6 3" xfId="29"/>
    <cellStyle name="60% - Accent1 2" xfId="30"/>
    <cellStyle name="60% - Accent1 3" xfId="31"/>
    <cellStyle name="60% - Accent2 2" xfId="32"/>
    <cellStyle name="60% - Accent2 3" xfId="33"/>
    <cellStyle name="60% - Accent3 2" xfId="34"/>
    <cellStyle name="60% - Accent3 3" xfId="35"/>
    <cellStyle name="60% - Accent4 2" xfId="36"/>
    <cellStyle name="60% - Accent4 3" xfId="37"/>
    <cellStyle name="60% - Accent5 2" xfId="38"/>
    <cellStyle name="60% - Accent5 3" xfId="39"/>
    <cellStyle name="60% - Accent6 2" xfId="40"/>
    <cellStyle name="60% - Accent6 3" xfId="41"/>
    <cellStyle name="Accent1 - 20%" xfId="42"/>
    <cellStyle name="Accent1 - 40%" xfId="43"/>
    <cellStyle name="Accent1 - 60%" xfId="44"/>
    <cellStyle name="Accent1 2" xfId="45"/>
    <cellStyle name="Accent1 3" xfId="46"/>
    <cellStyle name="Accent1 4" xfId="47"/>
    <cellStyle name="Accent1 5" xfId="48"/>
    <cellStyle name="Accent1 6" xfId="49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2 6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4 - 20%" xfId="66"/>
    <cellStyle name="Accent4 - 40%" xfId="67"/>
    <cellStyle name="Accent4 - 60%" xfId="68"/>
    <cellStyle name="Accent4 2" xfId="69"/>
    <cellStyle name="Accent4 3" xfId="70"/>
    <cellStyle name="Accent4 4" xfId="71"/>
    <cellStyle name="Accent4 5" xfId="72"/>
    <cellStyle name="Accent4 6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6 - 20%" xfId="82"/>
    <cellStyle name="Accent6 - 40%" xfId="83"/>
    <cellStyle name="Accent6 - 60%" xfId="84"/>
    <cellStyle name="Accent6 2" xfId="85"/>
    <cellStyle name="Accent6 3" xfId="86"/>
    <cellStyle name="Accent6 4" xfId="87"/>
    <cellStyle name="Accent6 5" xfId="88"/>
    <cellStyle name="Accent6 6" xfId="89"/>
    <cellStyle name="Bad 2" xfId="90"/>
    <cellStyle name="Bad 3" xfId="91"/>
    <cellStyle name="Calculation 2" xfId="92"/>
    <cellStyle name="Calculation 2 2" xfId="93"/>
    <cellStyle name="Calculation 3" xfId="94"/>
    <cellStyle name="Calculation 3 2" xfId="95"/>
    <cellStyle name="Check Cell 2" xfId="96"/>
    <cellStyle name="Check Cell 3" xfId="97"/>
    <cellStyle name="Comma 2" xfId="98"/>
    <cellStyle name="Comma 2 2" xfId="99"/>
    <cellStyle name="Comma 3" xfId="100"/>
    <cellStyle name="Comma 4" xfId="4"/>
    <cellStyle name="Comma 4 2" xfId="5"/>
    <cellStyle name="Comma 5" xfId="101"/>
    <cellStyle name="Comma0" xfId="102"/>
    <cellStyle name="Currency" xfId="1" builtinId="4"/>
    <cellStyle name="Currency 2" xfId="103"/>
    <cellStyle name="Currency 3" xfId="104"/>
    <cellStyle name="Currency0" xfId="105"/>
    <cellStyle name="Explanatory Text 2" xfId="106"/>
    <cellStyle name="Explanatory Text 3" xfId="107"/>
    <cellStyle name="Good 2" xfId="108"/>
    <cellStyle name="Good 3" xfId="109"/>
    <cellStyle name="Heading 1 2" xfId="110"/>
    <cellStyle name="Heading 1 3" xfId="111"/>
    <cellStyle name="Heading 2 2" xfId="112"/>
    <cellStyle name="Heading 2 3" xfId="113"/>
    <cellStyle name="Heading 3 2" xfId="114"/>
    <cellStyle name="Heading 3 3" xfId="115"/>
    <cellStyle name="Heading 4 2" xfId="116"/>
    <cellStyle name="Heading 4 3" xfId="117"/>
    <cellStyle name="Input 2" xfId="118"/>
    <cellStyle name="Input 2 2" xfId="119"/>
    <cellStyle name="Input 3" xfId="120"/>
    <cellStyle name="Input 3 2" xfId="121"/>
    <cellStyle name="Linked Cell 2" xfId="122"/>
    <cellStyle name="Linked Cell 3" xfId="123"/>
    <cellStyle name="Neutral 2" xfId="124"/>
    <cellStyle name="Neutral 3" xfId="125"/>
    <cellStyle name="Normal" xfId="0" builtinId="0"/>
    <cellStyle name="Normal 10" xfId="126"/>
    <cellStyle name="Normal 11" xfId="127"/>
    <cellStyle name="Normal 12" xfId="128"/>
    <cellStyle name="Normal 12 2" xfId="129"/>
    <cellStyle name="Normal 13" xfId="3"/>
    <cellStyle name="Normal 18" xfId="130"/>
    <cellStyle name="Normal 2" xfId="131"/>
    <cellStyle name="Normal 2 2" xfId="132"/>
    <cellStyle name="Normal 2 2 2" xfId="133"/>
    <cellStyle name="Normal 2 2 3 2" xfId="134"/>
    <cellStyle name="Normal 2 3" xfId="135"/>
    <cellStyle name="Normal 3" xfId="136"/>
    <cellStyle name="Normal 3 2" xfId="137"/>
    <cellStyle name="Normal 3 3" xfId="138"/>
    <cellStyle name="Normal 4" xfId="139"/>
    <cellStyle name="Normal 4 2" xfId="140"/>
    <cellStyle name="Normal 4 2 2" xfId="141"/>
    <cellStyle name="Normal 4 2 2 2" xfId="142"/>
    <cellStyle name="Normal 4 2 3" xfId="143"/>
    <cellStyle name="Normal 4 3" xfId="144"/>
    <cellStyle name="Normal 4 3 2" xfId="145"/>
    <cellStyle name="Normal 4 4" xfId="146"/>
    <cellStyle name="Normal 5" xfId="147"/>
    <cellStyle name="Normal 5 2" xfId="148"/>
    <cellStyle name="Normal 5 2 2" xfId="149"/>
    <cellStyle name="Normal 5 3" xfId="150"/>
    <cellStyle name="Normal 6" xfId="151"/>
    <cellStyle name="Normal 6 2" xfId="152"/>
    <cellStyle name="Normal 7" xfId="153"/>
    <cellStyle name="Normal 7 2" xfId="154"/>
    <cellStyle name="Normal 8" xfId="155"/>
    <cellStyle name="Normal 9" xfId="156"/>
    <cellStyle name="Note 2" xfId="157"/>
    <cellStyle name="Note 2 2" xfId="158"/>
    <cellStyle name="Note 3" xfId="159"/>
    <cellStyle name="Note 3 2" xfId="160"/>
    <cellStyle name="Note 4" xfId="161"/>
    <cellStyle name="Note 4 2" xfId="162"/>
    <cellStyle name="Output 2" xfId="163"/>
    <cellStyle name="Output 2 2" xfId="164"/>
    <cellStyle name="Output 3" xfId="165"/>
    <cellStyle name="Output 3 2" xfId="166"/>
    <cellStyle name="Percent" xfId="2" builtinId="5"/>
    <cellStyle name="Percent 2" xfId="167"/>
    <cellStyle name="Percent 3" xfId="168"/>
    <cellStyle name="Sheet Title" xfId="169"/>
    <cellStyle name="Title 2" xfId="170"/>
    <cellStyle name="Title 3" xfId="171"/>
    <cellStyle name="Total 2" xfId="172"/>
    <cellStyle name="Total 2 2" xfId="173"/>
    <cellStyle name="Total 3" xfId="174"/>
    <cellStyle name="Total 3 2" xfId="175"/>
    <cellStyle name="Warning Text 2" xfId="176"/>
    <cellStyle name="Warning Text 3" xfId="1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Single Stream Processing Costs Per Tonne (at various tonnages)</a:t>
            </a:r>
          </a:p>
        </c:rich>
      </c:tx>
      <c:layout>
        <c:manualLayout>
          <c:xMode val="edge"/>
          <c:yMode val="edge"/>
          <c:x val="0.13535511982570805"/>
          <c:y val="1.764057127670509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dPt>
            <c:idx val="18"/>
            <c:marker>
              <c:symbol val="auto"/>
            </c:marker>
            <c:bubble3D val="0"/>
          </c:dPt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'Cost Curves Single Stream'!$A$1:$A$21</c:f>
              <c:numCache>
                <c:formatCode>##,##0\ \ "T"</c:formatCode>
                <c:ptCount val="21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  <c:pt idx="4">
                  <c:v>45000</c:v>
                </c:pt>
                <c:pt idx="5">
                  <c:v>55000</c:v>
                </c:pt>
                <c:pt idx="6">
                  <c:v>65000</c:v>
                </c:pt>
                <c:pt idx="7">
                  <c:v>75000</c:v>
                </c:pt>
                <c:pt idx="8">
                  <c:v>85000</c:v>
                </c:pt>
                <c:pt idx="9">
                  <c:v>95000</c:v>
                </c:pt>
                <c:pt idx="10">
                  <c:v>105000</c:v>
                </c:pt>
                <c:pt idx="11">
                  <c:v>115000</c:v>
                </c:pt>
                <c:pt idx="12">
                  <c:v>125000</c:v>
                </c:pt>
                <c:pt idx="13">
                  <c:v>135000</c:v>
                </c:pt>
                <c:pt idx="14">
                  <c:v>145000</c:v>
                </c:pt>
                <c:pt idx="15">
                  <c:v>155000</c:v>
                </c:pt>
                <c:pt idx="16">
                  <c:v>165000</c:v>
                </c:pt>
                <c:pt idx="17">
                  <c:v>175000</c:v>
                </c:pt>
                <c:pt idx="18">
                  <c:v>185000</c:v>
                </c:pt>
                <c:pt idx="19">
                  <c:v>195000</c:v>
                </c:pt>
                <c:pt idx="20">
                  <c:v>205000</c:v>
                </c:pt>
              </c:numCache>
            </c:numRef>
          </c:cat>
          <c:val>
            <c:numRef>
              <c:f>'Cost Curves Single Stream'!$B$1:$B$21</c:f>
              <c:numCache>
                <c:formatCode>_("$"* #,##0.00_);_("$"* \(#,##0.00\);_("$"* "-"??_);_(@_)</c:formatCode>
                <c:ptCount val="21"/>
                <c:pt idx="0">
                  <c:v>138.14210356566926</c:v>
                </c:pt>
                <c:pt idx="1">
                  <c:v>100.19210356566924</c:v>
                </c:pt>
                <c:pt idx="2">
                  <c:v>84.492635745877266</c:v>
                </c:pt>
                <c:pt idx="3">
                  <c:v>81.522635745877281</c:v>
                </c:pt>
                <c:pt idx="4">
                  <c:v>82.33</c:v>
                </c:pt>
                <c:pt idx="5">
                  <c:v>80.832635745877269</c:v>
                </c:pt>
                <c:pt idx="6">
                  <c:v>79.111097284338811</c:v>
                </c:pt>
                <c:pt idx="7">
                  <c:v>78.706635745877264</c:v>
                </c:pt>
                <c:pt idx="8">
                  <c:v>79.232047510583158</c:v>
                </c:pt>
                <c:pt idx="9">
                  <c:v>78.691583114298325</c:v>
                </c:pt>
                <c:pt idx="10">
                  <c:v>78.294874551847414</c:v>
                </c:pt>
                <c:pt idx="11">
                  <c:v>78.462593720208105</c:v>
                </c:pt>
                <c:pt idx="12">
                  <c:v>78.730037198468963</c:v>
                </c:pt>
                <c:pt idx="13">
                  <c:v>78.432303865135651</c:v>
                </c:pt>
                <c:pt idx="14">
                  <c:v>77.92</c:v>
                </c:pt>
                <c:pt idx="15">
                  <c:v>78.275637198468971</c:v>
                </c:pt>
                <c:pt idx="16">
                  <c:v>78.071922912754687</c:v>
                </c:pt>
                <c:pt idx="17">
                  <c:v>77.997258820090593</c:v>
                </c:pt>
                <c:pt idx="18">
                  <c:v>77.600252583084369</c:v>
                </c:pt>
                <c:pt idx="19">
                  <c:v>78.09313719846898</c:v>
                </c:pt>
                <c:pt idx="20">
                  <c:v>77.901978661883618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4736"/>
        <c:axId val="89926272"/>
      </c:lineChart>
      <c:catAx>
        <c:axId val="89924736"/>
        <c:scaling>
          <c:orientation val="minMax"/>
        </c:scaling>
        <c:delete val="0"/>
        <c:axPos val="b"/>
        <c:numFmt formatCode="##,##0\ \ &quot;T&quot;" sourceLinked="1"/>
        <c:majorTickMark val="none"/>
        <c:minorTickMark val="none"/>
        <c:tickLblPos val="nextTo"/>
        <c:crossAx val="89926272"/>
        <c:crosses val="autoZero"/>
        <c:auto val="1"/>
        <c:lblAlgn val="ctr"/>
        <c:lblOffset val="100"/>
        <c:noMultiLvlLbl val="0"/>
      </c:catAx>
      <c:valAx>
        <c:axId val="89926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Processing</a:t>
                </a:r>
                <a:r>
                  <a:rPr lang="en-CA" baseline="0"/>
                  <a:t> Cost Per  Tonne</a:t>
                </a:r>
                <a:endParaRPr lang="en-CA"/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8992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Dual</a:t>
            </a:r>
            <a:r>
              <a:rPr lang="en-US" baseline="0"/>
              <a:t> Stream Processing Cost Per Tonne (at various tonnages)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 Cost Per Tonne</c:v>
          </c:tx>
          <c:marker>
            <c:symbol val="none"/>
          </c:marker>
          <c:dPt>
            <c:idx val="19"/>
            <c:marker>
              <c:symbol val="auto"/>
            </c:marker>
            <c:bubble3D val="0"/>
          </c:dPt>
          <c:dLbls>
            <c:dLbl>
              <c:idx val="20"/>
              <c:layout>
                <c:manualLayout>
                  <c:x val="-5.7279236276849645E-2"/>
                  <c:y val="-4.39560439560439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$62.15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'Cost Curves Single Stream'!$E$1:$E$21</c:f>
              <c:numCache>
                <c:formatCode>##,##0\ \ "T"</c:formatCode>
                <c:ptCount val="21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  <c:pt idx="4">
                  <c:v>45000</c:v>
                </c:pt>
                <c:pt idx="5">
                  <c:v>55000</c:v>
                </c:pt>
                <c:pt idx="6">
                  <c:v>65000</c:v>
                </c:pt>
                <c:pt idx="7">
                  <c:v>75000</c:v>
                </c:pt>
                <c:pt idx="8">
                  <c:v>85000</c:v>
                </c:pt>
                <c:pt idx="9">
                  <c:v>95000</c:v>
                </c:pt>
                <c:pt idx="10">
                  <c:v>105000</c:v>
                </c:pt>
                <c:pt idx="11">
                  <c:v>115000</c:v>
                </c:pt>
                <c:pt idx="12">
                  <c:v>125000</c:v>
                </c:pt>
                <c:pt idx="13">
                  <c:v>135000</c:v>
                </c:pt>
                <c:pt idx="14">
                  <c:v>145000</c:v>
                </c:pt>
                <c:pt idx="15">
                  <c:v>155000</c:v>
                </c:pt>
                <c:pt idx="16">
                  <c:v>165000</c:v>
                </c:pt>
                <c:pt idx="17">
                  <c:v>175000</c:v>
                </c:pt>
                <c:pt idx="18">
                  <c:v>185000</c:v>
                </c:pt>
                <c:pt idx="19">
                  <c:v>195000</c:v>
                </c:pt>
                <c:pt idx="20">
                  <c:v>205000</c:v>
                </c:pt>
              </c:numCache>
            </c:numRef>
          </c:cat>
          <c:val>
            <c:numRef>
              <c:f>'Cost Curves Single Stream'!$F$1:$F$21</c:f>
              <c:numCache>
                <c:formatCode>_("$"* #,##0.00_);_("$"* \(#,##0.00\);_("$"* "-"??_);_(@_)</c:formatCode>
                <c:ptCount val="21"/>
                <c:pt idx="0">
                  <c:v>155.31372439065109</c:v>
                </c:pt>
                <c:pt idx="1">
                  <c:v>96.310902682908221</c:v>
                </c:pt>
                <c:pt idx="2">
                  <c:v>87.730902682908194</c:v>
                </c:pt>
                <c:pt idx="3">
                  <c:v>84.760902682908196</c:v>
                </c:pt>
                <c:pt idx="4">
                  <c:v>85.567569349574882</c:v>
                </c:pt>
                <c:pt idx="5">
                  <c:v>84.070902682908184</c:v>
                </c:pt>
                <c:pt idx="6">
                  <c:v>63.975237308790064</c:v>
                </c:pt>
                <c:pt idx="7">
                  <c:v>63.570775770328531</c:v>
                </c:pt>
                <c:pt idx="8">
                  <c:v>64.096187535034417</c:v>
                </c:pt>
                <c:pt idx="9">
                  <c:v>63.555723138749578</c:v>
                </c:pt>
                <c:pt idx="10">
                  <c:v>62.882490056042819</c:v>
                </c:pt>
                <c:pt idx="11">
                  <c:v>62.713732292067661</c:v>
                </c:pt>
                <c:pt idx="12">
                  <c:v>62.981175770328527</c:v>
                </c:pt>
                <c:pt idx="13">
                  <c:v>62.683442436995193</c:v>
                </c:pt>
                <c:pt idx="14">
                  <c:v>62.256086115156116</c:v>
                </c:pt>
                <c:pt idx="15">
                  <c:v>62.171291899360774</c:v>
                </c:pt>
                <c:pt idx="16">
                  <c:v>62.526775770328513</c:v>
                </c:pt>
                <c:pt idx="17">
                  <c:v>62.323061484614236</c:v>
                </c:pt>
                <c:pt idx="18">
                  <c:v>62.248397391950149</c:v>
                </c:pt>
                <c:pt idx="19">
                  <c:v>61.851391154943926</c:v>
                </c:pt>
                <c:pt idx="20">
                  <c:v>62.153117233743153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59808"/>
        <c:axId val="89961600"/>
      </c:lineChart>
      <c:catAx>
        <c:axId val="89959808"/>
        <c:scaling>
          <c:orientation val="minMax"/>
        </c:scaling>
        <c:delete val="0"/>
        <c:axPos val="b"/>
        <c:numFmt formatCode="##,##0\ \ &quot;T&quot;" sourceLinked="1"/>
        <c:majorTickMark val="none"/>
        <c:minorTickMark val="none"/>
        <c:tickLblPos val="nextTo"/>
        <c:crossAx val="89961600"/>
        <c:crosses val="autoZero"/>
        <c:auto val="1"/>
        <c:lblAlgn val="ctr"/>
        <c:lblOffset val="100"/>
        <c:noMultiLvlLbl val="0"/>
      </c:catAx>
      <c:valAx>
        <c:axId val="8996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Processing Cost Per Tonne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8995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3" Type="http://schemas.openxmlformats.org/officeDocument/2006/relationships/image" Target="../media/image4.jpg"/><Relationship Id="rId7" Type="http://schemas.openxmlformats.org/officeDocument/2006/relationships/image" Target="../media/image8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6" Type="http://schemas.openxmlformats.org/officeDocument/2006/relationships/image" Target="../media/image7.jpg"/><Relationship Id="rId5" Type="http://schemas.openxmlformats.org/officeDocument/2006/relationships/image" Target="../media/image6.jpg"/><Relationship Id="rId10" Type="http://schemas.openxmlformats.org/officeDocument/2006/relationships/chart" Target="../charts/chart2.xml"/><Relationship Id="rId4" Type="http://schemas.openxmlformats.org/officeDocument/2006/relationships/image" Target="../media/image5.jpg"/><Relationship Id="rId9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11</xdr:col>
      <xdr:colOff>381000</xdr:colOff>
      <xdr:row>25</xdr:row>
      <xdr:rowOff>9525</xdr:rowOff>
    </xdr:to>
    <xdr:pic>
      <xdr:nvPicPr>
        <xdr:cNvPr id="2" name="Picture 1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00025"/>
          <a:ext cx="3429000" cy="4848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11</xdr:col>
      <xdr:colOff>638175</xdr:colOff>
      <xdr:row>25</xdr:row>
      <xdr:rowOff>9525</xdr:rowOff>
    </xdr:to>
    <xdr:pic>
      <xdr:nvPicPr>
        <xdr:cNvPr id="3" name="Picture 2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00025"/>
          <a:ext cx="3686175" cy="4848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12</xdr:col>
      <xdr:colOff>409575</xdr:colOff>
      <xdr:row>25</xdr:row>
      <xdr:rowOff>190500</xdr:rowOff>
    </xdr:to>
    <xdr:pic>
      <xdr:nvPicPr>
        <xdr:cNvPr id="4" name="Picture 3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00025"/>
          <a:ext cx="4229100" cy="5029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11</xdr:col>
      <xdr:colOff>762000</xdr:colOff>
      <xdr:row>25</xdr:row>
      <xdr:rowOff>104775</xdr:rowOff>
    </xdr:to>
    <xdr:pic>
      <xdr:nvPicPr>
        <xdr:cNvPr id="5" name="Picture 4" hidden="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00025"/>
          <a:ext cx="3810000" cy="49434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12</xdr:col>
      <xdr:colOff>400050</xdr:colOff>
      <xdr:row>26</xdr:row>
      <xdr:rowOff>57150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00025"/>
          <a:ext cx="4219575" cy="50958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12</xdr:col>
      <xdr:colOff>47625</xdr:colOff>
      <xdr:row>28</xdr:row>
      <xdr:rowOff>66675</xdr:rowOff>
    </xdr:to>
    <xdr:pic>
      <xdr:nvPicPr>
        <xdr:cNvPr id="7" name="Picture 6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00025"/>
          <a:ext cx="3867150" cy="55054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20</xdr:col>
      <xdr:colOff>942975</xdr:colOff>
      <xdr:row>28</xdr:row>
      <xdr:rowOff>66675</xdr:rowOff>
    </xdr:to>
    <xdr:pic>
      <xdr:nvPicPr>
        <xdr:cNvPr id="8" name="Picture 7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0" y="200025"/>
          <a:ext cx="8143875" cy="55054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20</xdr:col>
      <xdr:colOff>476250</xdr:colOff>
      <xdr:row>28</xdr:row>
      <xdr:rowOff>142875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0" y="200025"/>
          <a:ext cx="7677150" cy="5581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0</xdr:rowOff>
        </xdr:from>
        <xdr:to>
          <xdr:col>1</xdr:col>
          <xdr:colOff>1524000</xdr:colOff>
          <xdr:row>23</xdr:row>
          <xdr:rowOff>0</xdr:rowOff>
        </xdr:to>
        <xdr:sp macro="" textlink="">
          <xdr:nvSpPr>
            <xdr:cNvPr id="2060" name="ScrollBar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43</xdr:row>
      <xdr:rowOff>9525</xdr:rowOff>
    </xdr:from>
    <xdr:to>
      <xdr:col>9</xdr:col>
      <xdr:colOff>19050</xdr:colOff>
      <xdr:row>65</xdr:row>
      <xdr:rowOff>138113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28575</xdr:colOff>
      <xdr:row>42</xdr:row>
      <xdr:rowOff>238124</xdr:rowOff>
    </xdr:from>
    <xdr:to>
      <xdr:col>17</xdr:col>
      <xdr:colOff>1190625</xdr:colOff>
      <xdr:row>65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43"/>
  <sheetViews>
    <sheetView tabSelected="1" workbookViewId="0">
      <selection activeCell="B3" sqref="B3"/>
    </sheetView>
  </sheetViews>
  <sheetFormatPr defaultRowHeight="15" x14ac:dyDescent="0.25"/>
  <cols>
    <col min="1" max="1" width="48.28515625" style="35" customWidth="1"/>
    <col min="2" max="2" width="23" style="35" customWidth="1"/>
    <col min="3" max="4" width="0" style="35" hidden="1" customWidth="1"/>
    <col min="5" max="5" width="11.85546875" style="35" customWidth="1"/>
    <col min="6" max="6" width="7.5703125" style="35" customWidth="1"/>
    <col min="7" max="11" width="9.140625" style="35"/>
    <col min="12" max="12" width="11.5703125" style="35" customWidth="1"/>
    <col min="13" max="13" width="9.140625" style="35"/>
    <col min="14" max="14" width="10.85546875" style="35" customWidth="1"/>
    <col min="15" max="20" width="18" style="35" customWidth="1"/>
    <col min="21" max="21" width="16.7109375" style="35" customWidth="1"/>
    <col min="22" max="16384" width="9.140625" style="35"/>
  </cols>
  <sheetData>
    <row r="1" spans="1:22" ht="15.75" x14ac:dyDescent="0.25">
      <c r="A1" s="72" t="s">
        <v>121</v>
      </c>
      <c r="B1" s="73"/>
      <c r="F1" s="83"/>
      <c r="G1" s="86" t="s">
        <v>171</v>
      </c>
      <c r="H1" s="84"/>
      <c r="I1" s="84"/>
      <c r="J1" s="84"/>
      <c r="K1" s="84"/>
      <c r="L1" s="84"/>
      <c r="M1" s="85"/>
      <c r="N1" s="83"/>
      <c r="O1" s="88"/>
      <c r="P1" s="87" t="s">
        <v>180</v>
      </c>
      <c r="Q1" s="88"/>
      <c r="R1" s="88"/>
      <c r="S1" s="88"/>
      <c r="T1" s="88"/>
      <c r="U1" s="89"/>
      <c r="V1" s="76"/>
    </row>
    <row r="2" spans="1:22" ht="15.75" x14ac:dyDescent="0.25">
      <c r="A2" s="74" t="s">
        <v>120</v>
      </c>
      <c r="B2" s="97">
        <v>27433</v>
      </c>
      <c r="F2" s="76"/>
      <c r="G2" s="81" t="str">
        <f>VLOOKUP(B4,Sheet1!A21:B26,2,FALSE)</f>
        <v>Picture 5</v>
      </c>
      <c r="H2" s="81"/>
      <c r="I2" s="81"/>
      <c r="J2" s="81"/>
      <c r="K2" s="81"/>
      <c r="L2" s="81"/>
      <c r="M2" s="75"/>
      <c r="N2" s="76"/>
      <c r="O2" s="90" t="str">
        <f>VLOOKUP(B3,Sheet1!A28:B29,2,FALSE())</f>
        <v>Picture 8</v>
      </c>
      <c r="P2" s="81"/>
      <c r="Q2" s="81"/>
      <c r="R2" s="81"/>
      <c r="S2" s="81"/>
      <c r="T2" s="81"/>
      <c r="U2" s="75"/>
    </row>
    <row r="3" spans="1:22" ht="15.75" x14ac:dyDescent="0.25">
      <c r="A3" s="74" t="s">
        <v>123</v>
      </c>
      <c r="B3" s="98" t="s">
        <v>124</v>
      </c>
      <c r="F3" s="76"/>
      <c r="G3" s="81"/>
      <c r="H3" s="81"/>
      <c r="I3" s="81"/>
      <c r="J3" s="81"/>
      <c r="K3" s="81"/>
      <c r="L3" s="81"/>
      <c r="M3" s="75"/>
      <c r="N3" s="76"/>
      <c r="O3" s="76"/>
      <c r="P3" s="81"/>
      <c r="Q3" s="81"/>
      <c r="R3" s="81"/>
      <c r="S3" s="81"/>
      <c r="T3" s="81"/>
      <c r="U3" s="75"/>
    </row>
    <row r="4" spans="1:22" ht="15.75" x14ac:dyDescent="0.25">
      <c r="A4" s="74" t="s">
        <v>162</v>
      </c>
      <c r="B4" s="103" t="str">
        <f>IF(AND(B2&lt;20000,B3="Single"),"Single Stream Small",IF(AND(B2&gt;20000,B2&lt;105000,B3="Single"),"Single Stream Medium",IF(AND(B2&gt;105000,B3="Single"),"Single Stream Large",IF(AND(B2&lt;10000,B3="Dual"),"Dual Stream Small",IF(AND(B2&gt;10000,B2&lt;65000,B3="Dual"),"Dual Stream Medium","Dual Stream Large")))))</f>
        <v>Single Stream Medium</v>
      </c>
      <c r="F4" s="76"/>
      <c r="G4" s="81"/>
      <c r="H4" s="81"/>
      <c r="I4" s="81"/>
      <c r="J4" s="81"/>
      <c r="K4" s="81"/>
      <c r="L4" s="81"/>
      <c r="M4" s="75"/>
      <c r="N4" s="76"/>
      <c r="O4" s="76"/>
      <c r="P4" s="81"/>
      <c r="Q4" s="81"/>
      <c r="R4" s="81"/>
      <c r="S4" s="81"/>
      <c r="T4" s="81"/>
      <c r="U4" s="75"/>
    </row>
    <row r="5" spans="1:22" ht="15.75" x14ac:dyDescent="0.25">
      <c r="A5" s="74"/>
      <c r="B5" s="103"/>
      <c r="F5" s="76"/>
      <c r="G5" s="81"/>
      <c r="H5" s="81"/>
      <c r="I5" s="81"/>
      <c r="J5" s="81"/>
      <c r="K5" s="81"/>
      <c r="L5" s="81"/>
      <c r="M5" s="75"/>
      <c r="N5" s="76"/>
      <c r="O5" s="76"/>
      <c r="P5" s="81"/>
      <c r="Q5" s="81"/>
      <c r="R5" s="81"/>
      <c r="S5" s="81"/>
      <c r="T5" s="81"/>
      <c r="U5" s="75"/>
    </row>
    <row r="6" spans="1:22" x14ac:dyDescent="0.25">
      <c r="A6" s="104" t="s">
        <v>198</v>
      </c>
      <c r="B6" s="103"/>
      <c r="F6" s="76"/>
      <c r="G6" s="81"/>
      <c r="H6" s="81"/>
      <c r="I6" s="81"/>
      <c r="J6" s="81"/>
      <c r="K6" s="81"/>
      <c r="L6" s="81"/>
      <c r="M6" s="75"/>
      <c r="N6" s="76"/>
      <c r="O6" s="76"/>
      <c r="P6" s="81"/>
      <c r="Q6" s="81"/>
      <c r="R6" s="81"/>
      <c r="S6" s="81"/>
      <c r="T6" s="81"/>
      <c r="U6" s="75"/>
    </row>
    <row r="7" spans="1:22" ht="16.5" x14ac:dyDescent="0.25">
      <c r="A7" s="74" t="s">
        <v>189</v>
      </c>
      <c r="B7" s="105" t="str">
        <f>IF($B$2&lt;E7,"a","")</f>
        <v>a</v>
      </c>
      <c r="E7" s="51">
        <v>426542.74</v>
      </c>
      <c r="F7" s="76"/>
      <c r="G7" s="81"/>
      <c r="H7" s="81"/>
      <c r="I7" s="81"/>
      <c r="J7" s="81"/>
      <c r="K7" s="81"/>
      <c r="L7" s="81"/>
      <c r="M7" s="75"/>
      <c r="N7" s="76"/>
      <c r="O7" s="76"/>
      <c r="P7" s="81"/>
      <c r="Q7" s="81"/>
      <c r="R7" s="81"/>
      <c r="S7" s="81"/>
      <c r="T7" s="81"/>
      <c r="U7" s="75"/>
    </row>
    <row r="8" spans="1:22" ht="16.5" x14ac:dyDescent="0.25">
      <c r="A8" s="74" t="s">
        <v>190</v>
      </c>
      <c r="B8" s="105" t="str">
        <f t="shared" ref="B8:B15" si="0">IF($B$2&lt;E8,"a","")</f>
        <v>a</v>
      </c>
      <c r="E8" s="51">
        <v>229743.23999999996</v>
      </c>
      <c r="F8" s="76"/>
      <c r="G8" s="81"/>
      <c r="H8" s="81"/>
      <c r="I8" s="81"/>
      <c r="J8" s="81"/>
      <c r="K8" s="81"/>
      <c r="L8" s="81"/>
      <c r="M8" s="75"/>
      <c r="N8" s="76"/>
      <c r="O8" s="76"/>
      <c r="P8" s="81"/>
      <c r="Q8" s="81"/>
      <c r="R8" s="81"/>
      <c r="S8" s="81"/>
      <c r="T8" s="81"/>
      <c r="U8" s="75"/>
    </row>
    <row r="9" spans="1:22" ht="16.5" x14ac:dyDescent="0.25">
      <c r="A9" s="74" t="s">
        <v>191</v>
      </c>
      <c r="B9" s="105" t="str">
        <f t="shared" si="0"/>
        <v>a</v>
      </c>
      <c r="E9" s="51">
        <v>51230.33511</v>
      </c>
      <c r="F9" s="76"/>
      <c r="G9" s="81"/>
      <c r="H9" s="81"/>
      <c r="I9" s="81"/>
      <c r="J9" s="81"/>
      <c r="K9" s="81"/>
      <c r="L9" s="81"/>
      <c r="M9" s="75"/>
      <c r="N9" s="76"/>
      <c r="O9" s="76"/>
      <c r="P9" s="81"/>
      <c r="Q9" s="81"/>
      <c r="R9" s="81"/>
      <c r="S9" s="81"/>
      <c r="T9" s="81"/>
      <c r="U9" s="75"/>
    </row>
    <row r="10" spans="1:22" ht="16.5" x14ac:dyDescent="0.25">
      <c r="A10" s="74" t="s">
        <v>192</v>
      </c>
      <c r="B10" s="105" t="str">
        <f t="shared" si="0"/>
        <v/>
      </c>
      <c r="E10" s="51">
        <v>25910.569709999996</v>
      </c>
      <c r="F10" s="76"/>
      <c r="G10" s="81"/>
      <c r="H10" s="81"/>
      <c r="I10" s="81"/>
      <c r="J10" s="81"/>
      <c r="K10" s="81"/>
      <c r="L10" s="81"/>
      <c r="M10" s="75"/>
      <c r="N10" s="76"/>
      <c r="O10" s="76"/>
      <c r="P10" s="81"/>
      <c r="Q10" s="81"/>
      <c r="R10" s="81"/>
      <c r="S10" s="81"/>
      <c r="T10" s="81"/>
      <c r="U10" s="75"/>
    </row>
    <row r="11" spans="1:22" ht="16.5" x14ac:dyDescent="0.25">
      <c r="A11" s="74" t="s">
        <v>193</v>
      </c>
      <c r="B11" s="105" t="str">
        <f t="shared" si="0"/>
        <v>a</v>
      </c>
      <c r="E11" s="51">
        <v>96390.619550000003</v>
      </c>
      <c r="F11" s="76"/>
      <c r="G11" s="81"/>
      <c r="H11" s="81"/>
      <c r="I11" s="81"/>
      <c r="J11" s="81"/>
      <c r="K11" s="81"/>
      <c r="L11" s="81"/>
      <c r="M11" s="75"/>
      <c r="N11" s="76"/>
      <c r="O11" s="76"/>
      <c r="P11" s="81"/>
      <c r="Q11" s="81"/>
      <c r="R11" s="81"/>
      <c r="S11" s="81"/>
      <c r="T11" s="81"/>
      <c r="U11" s="75"/>
    </row>
    <row r="12" spans="1:22" ht="16.5" x14ac:dyDescent="0.25">
      <c r="A12" s="74" t="s">
        <v>194</v>
      </c>
      <c r="B12" s="105" t="str">
        <f t="shared" si="0"/>
        <v/>
      </c>
      <c r="E12" s="51">
        <v>9942.0137440000017</v>
      </c>
      <c r="F12" s="76"/>
      <c r="G12" s="81"/>
      <c r="H12" s="81"/>
      <c r="I12" s="81"/>
      <c r="J12" s="81"/>
      <c r="K12" s="81"/>
      <c r="L12" s="81"/>
      <c r="M12" s="75"/>
      <c r="N12" s="76"/>
      <c r="O12" s="76"/>
      <c r="P12" s="81"/>
      <c r="Q12" s="81"/>
      <c r="R12" s="81"/>
      <c r="S12" s="81"/>
      <c r="T12" s="81"/>
      <c r="U12" s="75"/>
    </row>
    <row r="13" spans="1:22" ht="16.5" x14ac:dyDescent="0.25">
      <c r="A13" s="74" t="s">
        <v>195</v>
      </c>
      <c r="B13" s="105" t="str">
        <f t="shared" si="0"/>
        <v>a</v>
      </c>
      <c r="E13" s="51">
        <v>38299.415240000009</v>
      </c>
      <c r="F13" s="76"/>
      <c r="G13" s="81"/>
      <c r="H13" s="81"/>
      <c r="I13" s="81"/>
      <c r="J13" s="81"/>
      <c r="K13" s="81"/>
      <c r="L13" s="81"/>
      <c r="M13" s="75"/>
      <c r="N13" s="76"/>
      <c r="O13" s="76"/>
      <c r="P13" s="81"/>
      <c r="Q13" s="81"/>
      <c r="R13" s="81"/>
      <c r="S13" s="81"/>
      <c r="T13" s="81"/>
      <c r="U13" s="75"/>
    </row>
    <row r="14" spans="1:22" ht="16.5" x14ac:dyDescent="0.25">
      <c r="A14" s="74" t="s">
        <v>196</v>
      </c>
      <c r="B14" s="105" t="str">
        <f t="shared" si="0"/>
        <v/>
      </c>
      <c r="E14" s="51">
        <v>6048.4668679999986</v>
      </c>
      <c r="F14" s="76"/>
      <c r="G14" s="81"/>
      <c r="H14" s="81"/>
      <c r="I14" s="81"/>
      <c r="J14" s="81"/>
      <c r="K14" s="81"/>
      <c r="L14" s="81"/>
      <c r="M14" s="75"/>
      <c r="N14" s="76"/>
      <c r="O14" s="76"/>
      <c r="P14" s="81"/>
      <c r="Q14" s="81"/>
      <c r="R14" s="81"/>
      <c r="S14" s="81"/>
      <c r="T14" s="81"/>
      <c r="U14" s="75"/>
    </row>
    <row r="15" spans="1:22" ht="16.5" x14ac:dyDescent="0.25">
      <c r="A15" s="74" t="s">
        <v>197</v>
      </c>
      <c r="B15" s="105" t="str">
        <f t="shared" si="0"/>
        <v/>
      </c>
      <c r="E15" s="51">
        <v>8816.987948</v>
      </c>
      <c r="F15" s="76"/>
      <c r="G15" s="81"/>
      <c r="H15" s="81"/>
      <c r="I15" s="81"/>
      <c r="J15" s="81"/>
      <c r="K15" s="81"/>
      <c r="L15" s="81"/>
      <c r="M15" s="75"/>
      <c r="N15" s="76"/>
      <c r="O15" s="76"/>
      <c r="P15" s="81"/>
      <c r="Q15" s="81"/>
      <c r="R15" s="81"/>
      <c r="S15" s="81"/>
      <c r="T15" s="81"/>
      <c r="U15" s="75"/>
    </row>
    <row r="16" spans="1:22" ht="15.75" x14ac:dyDescent="0.25">
      <c r="A16" s="74"/>
      <c r="B16" s="98"/>
      <c r="F16" s="76"/>
      <c r="G16" s="81"/>
      <c r="H16" s="81"/>
      <c r="I16" s="81"/>
      <c r="J16" s="81"/>
      <c r="K16" s="81"/>
      <c r="L16" s="81"/>
      <c r="M16" s="75"/>
      <c r="N16" s="76"/>
      <c r="O16" s="76"/>
      <c r="P16" s="81"/>
      <c r="Q16" s="81"/>
      <c r="R16" s="81"/>
      <c r="S16" s="81"/>
      <c r="T16" s="81"/>
      <c r="U16" s="75"/>
    </row>
    <row r="17" spans="1:21" ht="15.75" x14ac:dyDescent="0.25">
      <c r="A17" s="74" t="s">
        <v>126</v>
      </c>
      <c r="B17" s="100">
        <v>20</v>
      </c>
      <c r="F17" s="76"/>
      <c r="G17" s="81"/>
      <c r="H17" s="81"/>
      <c r="I17" s="81"/>
      <c r="J17" s="81"/>
      <c r="K17" s="81"/>
      <c r="L17" s="81"/>
      <c r="M17" s="75"/>
      <c r="N17" s="76"/>
      <c r="O17" s="76"/>
      <c r="P17" s="81"/>
      <c r="Q17" s="81"/>
      <c r="R17" s="81"/>
      <c r="S17" s="81"/>
      <c r="T17" s="81"/>
      <c r="U17" s="75"/>
    </row>
    <row r="18" spans="1:21" ht="15.75" x14ac:dyDescent="0.25">
      <c r="A18" s="74" t="s">
        <v>127</v>
      </c>
      <c r="B18" s="100">
        <v>10</v>
      </c>
      <c r="F18" s="76"/>
      <c r="G18" s="81"/>
      <c r="H18" s="81"/>
      <c r="I18" s="81"/>
      <c r="J18" s="81"/>
      <c r="K18" s="81"/>
      <c r="L18" s="81"/>
      <c r="M18" s="75"/>
      <c r="N18" s="76"/>
      <c r="O18" s="76"/>
      <c r="P18" s="81"/>
      <c r="Q18" s="81"/>
      <c r="R18" s="81"/>
      <c r="S18" s="81"/>
      <c r="T18" s="81"/>
      <c r="U18" s="75"/>
    </row>
    <row r="19" spans="1:21" ht="15.75" x14ac:dyDescent="0.25">
      <c r="A19" s="74" t="s">
        <v>128</v>
      </c>
      <c r="B19" s="100">
        <v>8</v>
      </c>
      <c r="F19" s="76"/>
      <c r="G19" s="81"/>
      <c r="H19" s="81"/>
      <c r="I19" s="81"/>
      <c r="J19" s="81"/>
      <c r="K19" s="81"/>
      <c r="L19" s="81"/>
      <c r="M19" s="75"/>
      <c r="N19" s="76"/>
      <c r="O19" s="76"/>
      <c r="P19" s="81"/>
      <c r="Q19" s="81"/>
      <c r="R19" s="81"/>
      <c r="S19" s="81"/>
      <c r="T19" s="81"/>
      <c r="U19" s="75"/>
    </row>
    <row r="20" spans="1:21" ht="15.75" x14ac:dyDescent="0.25">
      <c r="A20" s="74" t="s">
        <v>147</v>
      </c>
      <c r="B20" s="101">
        <v>0.04</v>
      </c>
      <c r="F20" s="76"/>
      <c r="G20" s="81"/>
      <c r="H20" s="81"/>
      <c r="I20" s="81"/>
      <c r="J20" s="81"/>
      <c r="K20" s="81"/>
      <c r="L20" s="81"/>
      <c r="M20" s="75"/>
      <c r="N20" s="76"/>
      <c r="O20" s="76"/>
      <c r="P20" s="81"/>
      <c r="Q20" s="81"/>
      <c r="R20" s="81"/>
      <c r="S20" s="81"/>
      <c r="T20" s="81"/>
      <c r="U20" s="75"/>
    </row>
    <row r="21" spans="1:21" ht="15.75" x14ac:dyDescent="0.25">
      <c r="A21" s="74"/>
      <c r="B21" s="102"/>
      <c r="F21" s="76"/>
      <c r="G21" s="81"/>
      <c r="H21" s="81"/>
      <c r="I21" s="81"/>
      <c r="J21" s="81"/>
      <c r="K21" s="81"/>
      <c r="L21" s="81"/>
      <c r="M21" s="75"/>
      <c r="N21" s="76"/>
      <c r="O21" s="76"/>
      <c r="P21" s="81"/>
      <c r="Q21" s="81"/>
      <c r="R21" s="81"/>
      <c r="S21" s="81"/>
      <c r="T21" s="81"/>
      <c r="U21" s="75"/>
    </row>
    <row r="22" spans="1:21" x14ac:dyDescent="0.25">
      <c r="A22" s="76"/>
      <c r="B22" s="99"/>
      <c r="F22" s="76"/>
      <c r="G22" s="81"/>
      <c r="H22" s="81"/>
      <c r="I22" s="81"/>
      <c r="J22" s="81"/>
      <c r="K22" s="81"/>
      <c r="L22" s="81"/>
      <c r="M22" s="75"/>
      <c r="N22" s="76"/>
      <c r="O22" s="76"/>
      <c r="P22" s="81"/>
      <c r="Q22" s="81"/>
      <c r="R22" s="81"/>
      <c r="S22" s="81"/>
      <c r="T22" s="81"/>
      <c r="U22" s="75"/>
    </row>
    <row r="23" spans="1:21" x14ac:dyDescent="0.25">
      <c r="A23" s="77"/>
      <c r="B23" s="78"/>
      <c r="F23" s="76"/>
      <c r="G23" s="81"/>
      <c r="H23" s="81"/>
      <c r="I23" s="81"/>
      <c r="J23" s="81"/>
      <c r="K23" s="81"/>
      <c r="L23" s="81"/>
      <c r="M23" s="75"/>
      <c r="N23" s="76"/>
      <c r="O23" s="76"/>
      <c r="P23" s="81"/>
      <c r="Q23" s="81"/>
      <c r="R23" s="81"/>
      <c r="S23" s="81"/>
      <c r="T23" s="81"/>
      <c r="U23" s="75"/>
    </row>
    <row r="24" spans="1:21" x14ac:dyDescent="0.25">
      <c r="F24" s="76"/>
      <c r="G24" s="81"/>
      <c r="H24" s="81"/>
      <c r="I24" s="81"/>
      <c r="J24" s="81"/>
      <c r="K24" s="81"/>
      <c r="L24" s="81"/>
      <c r="M24" s="75"/>
      <c r="N24" s="76"/>
      <c r="O24" s="76"/>
      <c r="P24" s="81"/>
      <c r="Q24" s="81"/>
      <c r="R24" s="81"/>
      <c r="S24" s="81"/>
      <c r="T24" s="81"/>
      <c r="U24" s="75"/>
    </row>
    <row r="25" spans="1:21" x14ac:dyDescent="0.25">
      <c r="F25" s="76"/>
      <c r="G25" s="81"/>
      <c r="H25" s="81"/>
      <c r="I25" s="81"/>
      <c r="J25" s="81"/>
      <c r="K25" s="81"/>
      <c r="L25" s="81"/>
      <c r="M25" s="75"/>
      <c r="N25" s="76"/>
      <c r="O25" s="76"/>
      <c r="P25" s="81"/>
      <c r="Q25" s="81"/>
      <c r="R25" s="81"/>
      <c r="S25" s="81"/>
      <c r="T25" s="81"/>
      <c r="U25" s="75"/>
    </row>
    <row r="26" spans="1:21" ht="15.75" x14ac:dyDescent="0.25">
      <c r="A26" s="72" t="s">
        <v>122</v>
      </c>
      <c r="B26" s="73"/>
      <c r="F26" s="76"/>
      <c r="G26" s="81"/>
      <c r="H26" s="81"/>
      <c r="I26" s="81"/>
      <c r="J26" s="81"/>
      <c r="K26" s="81"/>
      <c r="L26" s="81"/>
      <c r="M26" s="75"/>
      <c r="N26" s="76"/>
      <c r="O26" s="76"/>
      <c r="P26" s="81"/>
      <c r="Q26" s="81"/>
      <c r="R26" s="81"/>
      <c r="S26" s="81"/>
      <c r="T26" s="81"/>
      <c r="U26" s="75"/>
    </row>
    <row r="27" spans="1:21" ht="15.75" x14ac:dyDescent="0.25">
      <c r="A27" s="74" t="s">
        <v>163</v>
      </c>
      <c r="B27" s="79">
        <f>IF($B$4="Single Stream Small",$B$2*'Lookup Matrix'!B16,IF($B$4="Single Stream Medium",$B$2*'Lookup Matrix'!D16,IF($B$4="Single Stream Large",$B$2*'Lookup Matrix'!F16,IF($B$4="Dual Stream Small",$B$2*'Lookup Matrix'!C16,IF($B$4="Dual Stream Medium",$B$2*'Lookup Matrix'!E16,$B$2*'Lookup Matrix'!G16)))))</f>
        <v>227162.9419162808</v>
      </c>
      <c r="F27" s="76"/>
      <c r="G27" s="81"/>
      <c r="H27" s="81"/>
      <c r="I27" s="81"/>
      <c r="J27" s="81"/>
      <c r="K27" s="81"/>
      <c r="L27" s="81"/>
      <c r="M27" s="75"/>
      <c r="N27" s="76"/>
      <c r="O27" s="76"/>
      <c r="P27" s="81"/>
      <c r="Q27" s="81"/>
      <c r="R27" s="81"/>
      <c r="S27" s="81"/>
      <c r="T27" s="81"/>
      <c r="U27" s="75"/>
    </row>
    <row r="28" spans="1:21" ht="15.75" x14ac:dyDescent="0.25">
      <c r="A28" s="74" t="s">
        <v>164</v>
      </c>
      <c r="B28" s="79">
        <f>IF($B$4="Single Stream Small",$B$2*'Lookup Matrix'!B17,IF($B$4="Single Stream Medium",$B$2*'Lookup Matrix'!D17,IF($B$4="Single Stream Large",$B$2*'Lookup Matrix'!F17,IF($B$4="Dual Stream Small",$B$2*'Lookup Matrix'!C17,IF($B$4="Dual Stream Medium",$B$2*'Lookup Matrix'!E17,$B$2*'Lookup Matrix'!G17)))))</f>
        <v>673072.79995709483</v>
      </c>
      <c r="F28" s="76"/>
      <c r="G28" s="81"/>
      <c r="H28" s="81"/>
      <c r="I28" s="81"/>
      <c r="J28" s="81"/>
      <c r="K28" s="81"/>
      <c r="L28" s="81"/>
      <c r="M28" s="75"/>
      <c r="N28" s="76"/>
      <c r="O28" s="76"/>
      <c r="P28" s="81"/>
      <c r="Q28" s="81"/>
      <c r="R28" s="81"/>
      <c r="S28" s="81"/>
      <c r="T28" s="81"/>
      <c r="U28" s="75"/>
    </row>
    <row r="29" spans="1:21" ht="15.75" x14ac:dyDescent="0.25">
      <c r="A29" s="74" t="s">
        <v>165</v>
      </c>
      <c r="B29" s="79">
        <f>IF($B$4="Single Stream Small",$B$2*'Lookup Matrix'!B18,IF($B$4="Single Stream Medium",$B$2*'Lookup Matrix'!D18,IF($B$4="Single Stream Large",$B$2*'Lookup Matrix'!F18,IF($B$4="Dual Stream Small",$B$2*'Lookup Matrix'!C18,IF($B$4="Dual Stream Medium",$B$2*'Lookup Matrix'!E18,$B$2*'Lookup Matrix'!G18)))))</f>
        <v>27050.315366053474</v>
      </c>
      <c r="F29" s="77"/>
      <c r="G29" s="82"/>
      <c r="H29" s="82"/>
      <c r="I29" s="82"/>
      <c r="J29" s="82"/>
      <c r="K29" s="82"/>
      <c r="L29" s="82"/>
      <c r="M29" s="78"/>
      <c r="N29" s="77"/>
      <c r="O29" s="82"/>
      <c r="P29" s="82"/>
      <c r="Q29" s="82"/>
      <c r="R29" s="82"/>
      <c r="S29" s="82"/>
      <c r="T29" s="82"/>
      <c r="U29" s="78"/>
    </row>
    <row r="30" spans="1:21" ht="15.75" x14ac:dyDescent="0.25">
      <c r="A30" s="74" t="s">
        <v>166</v>
      </c>
      <c r="B30" s="79">
        <f>SUM('MRF Labor Requirements'!G25:G30)</f>
        <v>950400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ht="15.75" x14ac:dyDescent="0.25">
      <c r="A31" s="74" t="s">
        <v>161</v>
      </c>
      <c r="B31" s="79">
        <f>IF($B$4="Single Stream Small",$B$2*'Lookup Matrix'!B20,IF($B$4="Single Stream Medium",$B$2*'Lookup Matrix'!D20,IF($B$4="Single Stream Large",$B$2*'Lookup Matrix'!F20,IF($B$4="Dual Stream Small",$B$2*'Lookup Matrix'!C20,IF($B$4="Dual Stream Medium",$B$2*'Lookup Matrix'!E20,$B$2*'Lookup Matrix'!G20)))))</f>
        <v>151717.12264827092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ht="15.75" x14ac:dyDescent="0.25">
      <c r="A32" s="74" t="s">
        <v>167</v>
      </c>
      <c r="B32" s="79">
        <f>IF($B$4="Single Stream Small",$B$2*'Lookup Matrix'!B21,IF($B$4="Single Stream Medium",$B$2*'Lookup Matrix'!D21,IF($B$4="Single Stream Large",$B$2*'Lookup Matrix'!F21,IF($B$4="Dual Stream Small",$B$2*'Lookup Matrix'!C21,IF($B$4="Dual Stream Medium",$B$2*'Lookup Matrix'!E21,$B$2*'Lookup Matrix'!G21)))))</f>
        <v>10533.328213792045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x14ac:dyDescent="0.25">
      <c r="A33" s="91" t="s">
        <v>168</v>
      </c>
      <c r="B33" s="92">
        <f>IF($B$4="Single Stream Small",$B$2*'Lookup Matrix'!B22,IF($B$4="Single Stream Medium",$B$2*'Lookup Matrix'!D22,IF($B$4="Single Stream Large",$B$2*'Lookup Matrix'!F22,IF($B$4="Dual Stream Small",$B$2*'Lookup Matrix'!C22,IF($B$4="Dual Stream Medium",$B$2*'Lookup Matrix'!E22,$B$2*'Lookup Matrix'!G22)))))</f>
        <v>124171.08631546613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x14ac:dyDescent="0.25">
      <c r="A34" s="91" t="s">
        <v>169</v>
      </c>
      <c r="B34" s="92">
        <f>IF($B$4="Single Stream Small",$B$2*'Lookup Matrix'!B23,IF($B$4="Single Stream Medium",$B$2*'Lookup Matrix'!D23,IF($B$4="Single Stream Large",$B$2*'Lookup Matrix'!F23,IF($B$4="Dual Stream Small",$B$2*'Lookup Matrix'!C23,IF($B$4="Dual Stream Medium",$B$2*'Lookup Matrix'!E23,$B$2*'Lookup Matrix'!G23)))))</f>
        <v>153625.43199969284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x14ac:dyDescent="0.25">
      <c r="A35" s="94" t="s">
        <v>170</v>
      </c>
      <c r="B35" s="95">
        <f>SUM(B27:B34)</f>
        <v>2317733.026416651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x14ac:dyDescent="0.25">
      <c r="A36" s="80" t="s">
        <v>187</v>
      </c>
      <c r="B36" s="93">
        <f>B35/B2</f>
        <v>84.487042117765142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x14ac:dyDescent="0.25"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x14ac:dyDescent="0.25"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x14ac:dyDescent="0.25"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x14ac:dyDescent="0.25"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x14ac:dyDescent="0.25"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3" spans="1:21" ht="18.75" x14ac:dyDescent="0.3">
      <c r="A43" s="96" t="s">
        <v>188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</sheetData>
  <sheetProtection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60" r:id="rId4" name="ScrollBar1">
          <controlPr locked="0" defaultSize="0" autoLine="0" linkedCell="B2" r:id="rId5">
            <anchor moveWithCells="1">
              <from>
                <xdr:col>0</xdr:col>
                <xdr:colOff>9525</xdr:colOff>
                <xdr:row>21</xdr:row>
                <xdr:rowOff>0</xdr:rowOff>
              </from>
              <to>
                <xdr:col>1</xdr:col>
                <xdr:colOff>1524000</xdr:colOff>
                <xdr:row>23</xdr:row>
                <xdr:rowOff>0</xdr:rowOff>
              </to>
            </anchor>
          </controlPr>
        </control>
      </mc:Choice>
      <mc:Fallback>
        <control shapeId="2060" r:id="rId4" name="ScrollBar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'Model Ranges'!$A$1:$A$2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0"/>
  <sheetViews>
    <sheetView workbookViewId="0">
      <selection activeCell="K35" sqref="K35"/>
    </sheetView>
  </sheetViews>
  <sheetFormatPr defaultRowHeight="15" x14ac:dyDescent="0.25"/>
  <cols>
    <col min="1" max="1" width="25.140625" customWidth="1"/>
    <col min="2" max="3" width="14" customWidth="1"/>
    <col min="4" max="5" width="12.5703125" bestFit="1" customWidth="1"/>
  </cols>
  <sheetData>
    <row r="1" spans="1:5" x14ac:dyDescent="0.25">
      <c r="A1" s="19" t="s">
        <v>102</v>
      </c>
      <c r="B1" s="19" t="s">
        <v>115</v>
      </c>
      <c r="C1" s="19" t="s">
        <v>117</v>
      </c>
      <c r="D1" s="19" t="s">
        <v>114</v>
      </c>
    </row>
    <row r="2" spans="1:5" x14ac:dyDescent="0.25">
      <c r="A2" s="19" t="s">
        <v>105</v>
      </c>
      <c r="B2" s="57">
        <f>D2/50</f>
        <v>5670</v>
      </c>
      <c r="C2" s="57">
        <f>B2/50</f>
        <v>113.4</v>
      </c>
      <c r="D2" s="25">
        <v>283500</v>
      </c>
      <c r="E2" s="25"/>
    </row>
    <row r="3" spans="1:5" x14ac:dyDescent="0.25">
      <c r="A3" s="19" t="s">
        <v>104</v>
      </c>
      <c r="B3" s="57">
        <f t="shared" ref="B3:B19" si="0">D3/50</f>
        <v>8910.0000000000018</v>
      </c>
      <c r="C3" s="57">
        <f t="shared" ref="C3:C19" si="1">B3/50</f>
        <v>178.20000000000005</v>
      </c>
      <c r="D3" s="25">
        <v>445500.00000000006</v>
      </c>
      <c r="E3" s="25"/>
    </row>
    <row r="4" spans="1:5" x14ac:dyDescent="0.25">
      <c r="A4" s="19" t="s">
        <v>103</v>
      </c>
      <c r="B4" s="57">
        <f t="shared" si="0"/>
        <v>4050</v>
      </c>
      <c r="C4" s="57">
        <f t="shared" si="1"/>
        <v>81</v>
      </c>
      <c r="D4" s="25">
        <v>202500</v>
      </c>
      <c r="E4" s="25"/>
    </row>
    <row r="5" spans="1:5" x14ac:dyDescent="0.25">
      <c r="A5" s="20" t="s">
        <v>41</v>
      </c>
      <c r="B5" s="57">
        <f t="shared" si="0"/>
        <v>810</v>
      </c>
      <c r="C5" s="57">
        <f t="shared" si="1"/>
        <v>16.2</v>
      </c>
      <c r="D5" s="25">
        <v>40500</v>
      </c>
      <c r="E5" s="25"/>
    </row>
    <row r="6" spans="1:5" x14ac:dyDescent="0.25">
      <c r="A6" s="20" t="s">
        <v>42</v>
      </c>
      <c r="B6" s="57">
        <f t="shared" si="0"/>
        <v>5184.0000000000009</v>
      </c>
      <c r="C6" s="57">
        <f t="shared" si="1"/>
        <v>103.68000000000002</v>
      </c>
      <c r="D6" s="25">
        <v>259200.00000000003</v>
      </c>
      <c r="E6" s="25"/>
    </row>
    <row r="7" spans="1:5" x14ac:dyDescent="0.25">
      <c r="A7" s="20" t="s">
        <v>106</v>
      </c>
      <c r="B7" s="57">
        <f t="shared" si="0"/>
        <v>16200</v>
      </c>
      <c r="C7" s="57">
        <f t="shared" si="1"/>
        <v>324</v>
      </c>
      <c r="D7" s="25">
        <v>810000</v>
      </c>
      <c r="E7" s="25"/>
    </row>
    <row r="8" spans="1:5" x14ac:dyDescent="0.25">
      <c r="A8" s="20" t="s">
        <v>44</v>
      </c>
      <c r="B8" s="57">
        <f t="shared" si="0"/>
        <v>1490.4</v>
      </c>
      <c r="C8" s="57">
        <f t="shared" si="1"/>
        <v>29.808000000000003</v>
      </c>
      <c r="D8" s="25">
        <v>74520</v>
      </c>
      <c r="E8" s="25"/>
    </row>
    <row r="9" spans="1:5" x14ac:dyDescent="0.25">
      <c r="A9" s="20" t="s">
        <v>45</v>
      </c>
      <c r="B9" s="57">
        <f t="shared" si="0"/>
        <v>0</v>
      </c>
      <c r="C9" s="57">
        <f t="shared" si="1"/>
        <v>0</v>
      </c>
      <c r="D9" s="25">
        <v>0</v>
      </c>
      <c r="E9" s="25"/>
    </row>
    <row r="10" spans="1:5" x14ac:dyDescent="0.25">
      <c r="A10" s="20" t="s">
        <v>46</v>
      </c>
      <c r="B10" s="57">
        <f t="shared" si="0"/>
        <v>0</v>
      </c>
      <c r="C10" s="57">
        <f t="shared" si="1"/>
        <v>0</v>
      </c>
      <c r="D10" s="25">
        <v>0</v>
      </c>
      <c r="E10" s="25"/>
    </row>
    <row r="11" spans="1:5" x14ac:dyDescent="0.25">
      <c r="A11" s="20" t="s">
        <v>47</v>
      </c>
      <c r="B11" s="57">
        <f t="shared" si="0"/>
        <v>4860.0000000000009</v>
      </c>
      <c r="C11" s="57">
        <f t="shared" si="1"/>
        <v>97.200000000000017</v>
      </c>
      <c r="D11" s="25">
        <v>243000.00000000003</v>
      </c>
      <c r="E11" s="25"/>
    </row>
    <row r="12" spans="1:5" x14ac:dyDescent="0.25">
      <c r="A12" s="20" t="s">
        <v>49</v>
      </c>
      <c r="B12" s="57">
        <f t="shared" si="0"/>
        <v>2430.0000000000005</v>
      </c>
      <c r="C12" s="57">
        <f t="shared" si="1"/>
        <v>48.600000000000009</v>
      </c>
      <c r="D12" s="25">
        <v>121500.00000000001</v>
      </c>
      <c r="E12" s="25"/>
    </row>
    <row r="13" spans="1:5" x14ac:dyDescent="0.25">
      <c r="A13" s="20" t="s">
        <v>50</v>
      </c>
      <c r="B13" s="57">
        <f t="shared" si="0"/>
        <v>3240</v>
      </c>
      <c r="C13" s="57">
        <f t="shared" si="1"/>
        <v>64.8</v>
      </c>
      <c r="D13" s="25">
        <v>162000</v>
      </c>
      <c r="E13" s="25"/>
    </row>
    <row r="14" spans="1:5" x14ac:dyDescent="0.25">
      <c r="A14" s="20" t="s">
        <v>51</v>
      </c>
      <c r="B14" s="57">
        <f t="shared" si="0"/>
        <v>7290</v>
      </c>
      <c r="C14" s="57">
        <f t="shared" si="1"/>
        <v>145.80000000000001</v>
      </c>
      <c r="D14" s="25">
        <v>364500</v>
      </c>
      <c r="E14" s="25"/>
    </row>
    <row r="15" spans="1:5" x14ac:dyDescent="0.25">
      <c r="A15" s="20" t="s">
        <v>53</v>
      </c>
      <c r="B15" s="57">
        <f t="shared" si="0"/>
        <v>0</v>
      </c>
      <c r="C15" s="57">
        <f t="shared" si="1"/>
        <v>0</v>
      </c>
      <c r="D15" s="25">
        <v>0</v>
      </c>
      <c r="E15" s="25"/>
    </row>
    <row r="16" spans="1:5" x14ac:dyDescent="0.25">
      <c r="A16" s="20" t="s">
        <v>54</v>
      </c>
      <c r="B16" s="57">
        <f t="shared" si="0"/>
        <v>4860.0000000000009</v>
      </c>
      <c r="C16" s="57">
        <f t="shared" si="1"/>
        <v>97.200000000000017</v>
      </c>
      <c r="D16" s="25">
        <v>243000.00000000003</v>
      </c>
      <c r="E16" s="25"/>
    </row>
    <row r="17" spans="1:5" x14ac:dyDescent="0.25">
      <c r="A17" s="20" t="s">
        <v>107</v>
      </c>
      <c r="B17" s="57">
        <f t="shared" si="0"/>
        <v>972</v>
      </c>
      <c r="C17" s="57">
        <f t="shared" si="1"/>
        <v>19.440000000000001</v>
      </c>
      <c r="D17" s="25">
        <v>48600</v>
      </c>
      <c r="E17" s="25"/>
    </row>
    <row r="18" spans="1:5" x14ac:dyDescent="0.25">
      <c r="A18" s="20" t="s">
        <v>108</v>
      </c>
      <c r="B18" s="57">
        <f t="shared" si="0"/>
        <v>2106</v>
      </c>
      <c r="C18" s="57">
        <f t="shared" si="1"/>
        <v>42.12</v>
      </c>
      <c r="D18" s="25">
        <v>105300</v>
      </c>
      <c r="E18" s="25"/>
    </row>
    <row r="19" spans="1:5" x14ac:dyDescent="0.25">
      <c r="A19" s="20" t="s">
        <v>116</v>
      </c>
      <c r="B19" s="57">
        <f t="shared" si="0"/>
        <v>6520</v>
      </c>
      <c r="C19" s="57">
        <f t="shared" si="1"/>
        <v>130.4</v>
      </c>
      <c r="D19" s="25">
        <v>326000</v>
      </c>
    </row>
    <row r="20" spans="1:5" x14ac:dyDescent="0.25">
      <c r="A20" s="63" t="s">
        <v>144</v>
      </c>
      <c r="C20" s="64">
        <f>AVERAGE(C2:C19)</f>
        <v>82.88044444444445</v>
      </c>
      <c r="D20" s="25"/>
    </row>
  </sheetData>
  <sheetProtection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5"/>
  <sheetViews>
    <sheetView workbookViewId="0">
      <selection activeCell="O41" sqref="O41"/>
    </sheetView>
  </sheetViews>
  <sheetFormatPr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4" spans="1:1" x14ac:dyDescent="0.25">
      <c r="A4">
        <v>1</v>
      </c>
    </row>
    <row r="5" spans="1:1" x14ac:dyDescent="0.25">
      <c r="A5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38"/>
  <sheetViews>
    <sheetView workbookViewId="0">
      <selection activeCell="J31" sqref="J31"/>
    </sheetView>
  </sheetViews>
  <sheetFormatPr defaultRowHeight="15" x14ac:dyDescent="0.25"/>
  <cols>
    <col min="1" max="1" width="33.140625" customWidth="1"/>
    <col min="2" max="2" width="22.7109375" customWidth="1"/>
    <col min="3" max="3" width="20.140625" customWidth="1"/>
    <col min="4" max="4" width="21.7109375" customWidth="1"/>
    <col min="5" max="5" width="28.5703125" customWidth="1"/>
    <col min="6" max="6" width="18.85546875" customWidth="1"/>
    <col min="7" max="7" width="20.28515625" customWidth="1"/>
  </cols>
  <sheetData>
    <row r="1" spans="1:18" x14ac:dyDescent="0.25"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</row>
    <row r="2" spans="1:18" x14ac:dyDescent="0.25">
      <c r="A2" t="s">
        <v>145</v>
      </c>
      <c r="B2" s="22">
        <v>1</v>
      </c>
      <c r="C2" s="22">
        <v>2</v>
      </c>
      <c r="D2" s="22">
        <v>1</v>
      </c>
      <c r="E2" s="22">
        <v>2</v>
      </c>
      <c r="F2" s="22">
        <v>1</v>
      </c>
      <c r="G2" s="22">
        <v>2</v>
      </c>
    </row>
    <row r="3" spans="1:18" x14ac:dyDescent="0.25">
      <c r="B3" s="66">
        <v>22324</v>
      </c>
      <c r="C3" s="66">
        <v>10492</v>
      </c>
      <c r="D3" s="66">
        <v>52088</v>
      </c>
      <c r="E3" s="66">
        <v>22324</v>
      </c>
      <c r="F3" s="66">
        <v>104177</v>
      </c>
      <c r="G3" s="66">
        <v>65482</v>
      </c>
    </row>
    <row r="4" spans="1:18" x14ac:dyDescent="0.25">
      <c r="A4" t="s">
        <v>154</v>
      </c>
      <c r="B4" s="66">
        <f>B3/'MRF Labor Requirements'!$B$20</f>
        <v>101.47272727272727</v>
      </c>
      <c r="C4" s="66">
        <f>C3/'MRF Labor Requirements'!$B$20</f>
        <v>47.690909090909088</v>
      </c>
      <c r="D4" s="66">
        <f>D3/'MRF Labor Requirements'!$B$20</f>
        <v>236.76363636363635</v>
      </c>
      <c r="E4" s="66">
        <f>E3/'MRF Labor Requirements'!$B$20</f>
        <v>101.47272727272727</v>
      </c>
      <c r="F4" s="66">
        <f>F3/'MRF Labor Requirements'!$B$20</f>
        <v>473.53181818181821</v>
      </c>
      <c r="G4" s="66">
        <f>G3/'MRF Labor Requirements'!$B$20</f>
        <v>297.64545454545453</v>
      </c>
    </row>
    <row r="5" spans="1:18" x14ac:dyDescent="0.25">
      <c r="A5" t="s">
        <v>135</v>
      </c>
      <c r="B5" s="65">
        <v>20000</v>
      </c>
      <c r="C5" s="65">
        <v>10000</v>
      </c>
      <c r="D5" s="65">
        <v>50000</v>
      </c>
      <c r="E5" s="65">
        <v>20000</v>
      </c>
      <c r="F5" s="65">
        <v>105000</v>
      </c>
      <c r="G5" s="65">
        <v>65000</v>
      </c>
    </row>
    <row r="6" spans="1:18" x14ac:dyDescent="0.25">
      <c r="A6" t="s">
        <v>137</v>
      </c>
      <c r="B6" s="68">
        <v>345057.80099982454</v>
      </c>
      <c r="C6" s="68">
        <v>189781.7905499035</v>
      </c>
      <c r="D6" s="68">
        <v>431322.2512497807</v>
      </c>
      <c r="E6" s="68">
        <v>345057.80099982454</v>
      </c>
      <c r="F6" s="68">
        <v>905776.72762453952</v>
      </c>
      <c r="G6" s="68">
        <v>534839.59154972807</v>
      </c>
      <c r="M6" s="68" t="e">
        <f>PMT(InputOutput!M20/12,InputOutput!M17,-5168000,0)</f>
        <v>#NUM!</v>
      </c>
      <c r="N6" s="68" t="e">
        <f>PMT(InputOutput!M20/12,InputOutput!M17,-2842400,0)</f>
        <v>#NUM!</v>
      </c>
      <c r="O6" s="68" t="e">
        <f>PMT(InputOutput!M20/12,InputOutput!M17,-6460000,0)</f>
        <v>#NUM!</v>
      </c>
      <c r="P6" s="68" t="e">
        <f>PMT(InputOutput!M20/12,InputOutput!M17,-5168000,0)</f>
        <v>#NUM!</v>
      </c>
      <c r="Q6" s="68" t="e">
        <f>PMT(InputOutput!M20/12,InputOutput!M17,-13566000,0)</f>
        <v>#NUM!</v>
      </c>
      <c r="R6" s="68" t="e">
        <f>PMT(InputOutput!M20/12,InputOutput!M17,-8010400,0)</f>
        <v>#NUM!</v>
      </c>
    </row>
    <row r="7" spans="1:18" x14ac:dyDescent="0.25">
      <c r="A7" t="s">
        <v>138</v>
      </c>
      <c r="B7" s="68">
        <v>531971.38899574068</v>
      </c>
      <c r="C7" s="68">
        <v>313735.49886414484</v>
      </c>
      <c r="D7" s="68">
        <v>1277986.9501755242</v>
      </c>
      <c r="E7" s="68">
        <v>429514.54202122486</v>
      </c>
      <c r="F7" s="68">
        <v>2271293.323873986</v>
      </c>
      <c r="G7" s="68">
        <v>808923.62921731209</v>
      </c>
      <c r="M7" s="68" t="e">
        <f>PMT(InputOutput!M20/12,InputOutput!M18,-4050000,0)</f>
        <v>#NUM!</v>
      </c>
      <c r="N7" s="68" t="e">
        <f>PMT(InputOutput!M20/12,InputOutput!M18,-2400000,0)</f>
        <v>#NUM!</v>
      </c>
      <c r="O7" s="68" t="e">
        <f>PMT(InputOutput!M20/12,InputOutput!M18,-9300000,0)</f>
        <v>#NUM!</v>
      </c>
      <c r="P7" s="68" t="e">
        <f>PMT(InputOutput!M20/12,InputOutput!M18,-3250000,0)</f>
        <v>#NUM!</v>
      </c>
      <c r="Q7" s="68" t="e">
        <f>PMT(InputOutput!M20/12,InputOutput!M18,-17600000,0)</f>
        <v>#NUM!</v>
      </c>
      <c r="R7" s="68" t="e">
        <f>PMT(InputOutput!M20/12,InputOutput!M18,-6750000,0)</f>
        <v>#NUM!</v>
      </c>
    </row>
    <row r="8" spans="1:18" x14ac:dyDescent="0.25">
      <c r="A8" t="s">
        <v>139</v>
      </c>
      <c r="B8" s="68">
        <v>27819.810004434908</v>
      </c>
      <c r="C8" s="68">
        <v>27686.835944803846</v>
      </c>
      <c r="D8" s="68">
        <v>51361.383253271364</v>
      </c>
      <c r="E8" s="68">
        <v>43632.728472193266</v>
      </c>
      <c r="F8" s="68">
        <v>90840.808440084031</v>
      </c>
      <c r="G8" s="68">
        <v>50017.334300150789</v>
      </c>
      <c r="M8" s="68" t="e">
        <f>PMT(InputOutput!M20/12,InputOutput!M19,-170000,0)</f>
        <v>#NUM!</v>
      </c>
      <c r="N8" s="68" t="e">
        <f>PMT(InputOutput!M20/12,InputOutput!M19,-170000,0)</f>
        <v>#NUM!</v>
      </c>
      <c r="O8" s="68" t="e">
        <f>PMT(InputOutput!M20/12,InputOutput!M19,-300000,0)</f>
        <v>#NUM!</v>
      </c>
      <c r="P8" s="68" t="e">
        <f>PMT(InputOutput!M20/12,InputOutput!M19,-265000,0)</f>
        <v>#NUM!</v>
      </c>
      <c r="Q8" s="68" t="e">
        <f>PMT(InputOutput!M20/12,InputOutput!M19,-565000,0)</f>
        <v>#NUM!</v>
      </c>
      <c r="R8" s="68" t="e">
        <f>PMT(InputOutput!M20/12,InputOutput!M19,-335000,0)</f>
        <v>#NUM!</v>
      </c>
    </row>
    <row r="9" spans="1:18" x14ac:dyDescent="0.25">
      <c r="A9" t="s">
        <v>140</v>
      </c>
      <c r="C9" s="25"/>
      <c r="D9" s="25"/>
      <c r="E9" s="25"/>
      <c r="F9" s="25"/>
      <c r="G9" s="25"/>
    </row>
    <row r="10" spans="1:18" x14ac:dyDescent="0.25">
      <c r="A10" t="s">
        <v>161</v>
      </c>
      <c r="B10" s="25">
        <v>79653</v>
      </c>
      <c r="C10" s="25">
        <v>79653</v>
      </c>
      <c r="D10" s="25">
        <v>123462</v>
      </c>
      <c r="E10" s="25">
        <v>79653</v>
      </c>
      <c r="F10" s="25">
        <v>209089</v>
      </c>
      <c r="G10" s="25">
        <v>99566</v>
      </c>
      <c r="M10">
        <v>267539.29863666062</v>
      </c>
      <c r="N10">
        <v>147146.61425016334</v>
      </c>
      <c r="O10">
        <v>334424.12329582579</v>
      </c>
      <c r="P10">
        <v>267539.29863666062</v>
      </c>
      <c r="Q10">
        <v>702290.65892123419</v>
      </c>
      <c r="R10">
        <v>414685.91288682399</v>
      </c>
    </row>
    <row r="11" spans="1:18" x14ac:dyDescent="0.25">
      <c r="A11" t="s">
        <v>141</v>
      </c>
      <c r="B11" s="25">
        <v>10000</v>
      </c>
      <c r="C11" s="25">
        <v>8000</v>
      </c>
      <c r="D11" s="25">
        <v>20000</v>
      </c>
      <c r="E11" s="25">
        <v>10000</v>
      </c>
      <c r="F11" s="25">
        <v>30000</v>
      </c>
      <c r="G11" s="25">
        <v>30000</v>
      </c>
      <c r="M11">
        <v>412462.06257125887</v>
      </c>
      <c r="N11">
        <v>244421.96300519045</v>
      </c>
      <c r="O11">
        <v>947135.10664511286</v>
      </c>
      <c r="P11">
        <v>330988.07490286202</v>
      </c>
      <c r="Q11">
        <v>1792427.72870473</v>
      </c>
      <c r="R11">
        <v>687436.77095209807</v>
      </c>
    </row>
    <row r="12" spans="1:18" x14ac:dyDescent="0.25">
      <c r="A12" t="s">
        <v>142</v>
      </c>
      <c r="B12" s="25">
        <v>152108</v>
      </c>
      <c r="C12" s="25">
        <v>83660</v>
      </c>
      <c r="D12" s="25">
        <v>235768</v>
      </c>
      <c r="E12" s="25">
        <v>152108</v>
      </c>
      <c r="F12" s="25">
        <v>399284</v>
      </c>
      <c r="G12" s="25">
        <v>190135</v>
      </c>
      <c r="M12">
        <v>21569.987507094367</v>
      </c>
      <c r="N12">
        <v>21569.987507094367</v>
      </c>
      <c r="O12">
        <v>38064.683836048884</v>
      </c>
      <c r="P12">
        <v>33623.804055176515</v>
      </c>
      <c r="Q12">
        <v>71688.487891225392</v>
      </c>
      <c r="R12">
        <v>42505.563616921252</v>
      </c>
    </row>
    <row r="13" spans="1:18" x14ac:dyDescent="0.25">
      <c r="A13" t="s">
        <v>143</v>
      </c>
      <c r="B13" s="25">
        <v>125012</v>
      </c>
      <c r="C13" s="25">
        <v>117511</v>
      </c>
      <c r="D13" s="25">
        <v>291694</v>
      </c>
      <c r="E13" s="25">
        <v>125012</v>
      </c>
      <c r="F13" s="25">
        <v>583389</v>
      </c>
      <c r="G13" s="25">
        <v>366701</v>
      </c>
      <c r="M13">
        <f>SUM(M10:M12)</f>
        <v>701571.34871501382</v>
      </c>
      <c r="N13">
        <f t="shared" ref="N13:R13" si="0">SUM(N10:N12)</f>
        <v>413138.56476244819</v>
      </c>
      <c r="O13">
        <f t="shared" si="0"/>
        <v>1319623.9137769877</v>
      </c>
      <c r="P13">
        <f t="shared" si="0"/>
        <v>632151.1775946992</v>
      </c>
      <c r="Q13">
        <f t="shared" si="0"/>
        <v>2566406.87551719</v>
      </c>
      <c r="R13">
        <f t="shared" si="0"/>
        <v>1144628.2474558433</v>
      </c>
    </row>
    <row r="14" spans="1:18" x14ac:dyDescent="0.25">
      <c r="M14">
        <v>904849</v>
      </c>
      <c r="N14">
        <v>530297</v>
      </c>
      <c r="O14">
        <v>1780593</v>
      </c>
      <c r="P14">
        <v>820326</v>
      </c>
      <c r="Q14">
        <v>3252049</v>
      </c>
      <c r="R14">
        <v>1346912</v>
      </c>
    </row>
    <row r="15" spans="1:18" x14ac:dyDescent="0.25">
      <c r="A15" s="22" t="s">
        <v>135</v>
      </c>
      <c r="B15" s="66">
        <v>20000</v>
      </c>
      <c r="C15" s="66">
        <v>10000</v>
      </c>
      <c r="D15" s="66">
        <v>50000</v>
      </c>
      <c r="E15" s="66">
        <v>20000</v>
      </c>
      <c r="F15" s="66">
        <v>105000</v>
      </c>
      <c r="G15" s="66">
        <v>65000</v>
      </c>
      <c r="M15">
        <f>M14/M13</f>
        <v>1.2897462270335101</v>
      </c>
      <c r="N15">
        <f t="shared" ref="N15:R15" si="1">N14/N13</f>
        <v>1.2835814548199274</v>
      </c>
      <c r="O15">
        <f t="shared" si="1"/>
        <v>1.3493185303861617</v>
      </c>
      <c r="P15">
        <f t="shared" si="1"/>
        <v>1.2976737670904859</v>
      </c>
      <c r="Q15">
        <f t="shared" si="1"/>
        <v>1.2671603365092441</v>
      </c>
      <c r="R15">
        <f t="shared" si="1"/>
        <v>1.1767244107366486</v>
      </c>
    </row>
    <row r="16" spans="1:18" x14ac:dyDescent="0.25">
      <c r="A16" t="s">
        <v>137</v>
      </c>
      <c r="B16" s="25">
        <f t="shared" ref="B16:C18" si="2">B6/B$3</f>
        <v>15.456808860411419</v>
      </c>
      <c r="C16" s="25">
        <f t="shared" si="2"/>
        <v>18.088237757329725</v>
      </c>
      <c r="D16" s="25">
        <f t="shared" ref="D16:F16" si="3">D6/D$3</f>
        <v>8.2806452781788646</v>
      </c>
      <c r="E16" s="25">
        <f t="shared" si="3"/>
        <v>15.456808860411419</v>
      </c>
      <c r="F16" s="25">
        <f t="shared" si="3"/>
        <v>8.6945940814626983</v>
      </c>
      <c r="G16" s="25">
        <f>G6/G$3</f>
        <v>8.1677345155879184</v>
      </c>
    </row>
    <row r="17" spans="1:18" x14ac:dyDescent="0.25">
      <c r="A17" t="s">
        <v>138</v>
      </c>
      <c r="B17" s="25">
        <f t="shared" si="2"/>
        <v>23.829573060192647</v>
      </c>
      <c r="C17" s="25">
        <f t="shared" si="2"/>
        <v>29.90235406635006</v>
      </c>
      <c r="D17" s="25">
        <f t="shared" ref="D17:F18" si="4">D7/D$3</f>
        <v>24.535151093832059</v>
      </c>
      <c r="E17" s="25">
        <f t="shared" si="4"/>
        <v>19.240035030515358</v>
      </c>
      <c r="F17" s="25">
        <f t="shared" si="4"/>
        <v>21.802253125680199</v>
      </c>
      <c r="G17" s="25">
        <f>G7/G$3</f>
        <v>12.353373892326321</v>
      </c>
      <c r="M17">
        <f>M10*$M$15</f>
        <v>345057.80099982454</v>
      </c>
      <c r="N17">
        <f t="shared" ref="N17:R17" si="5">N10*$M$15</f>
        <v>189781.7905499035</v>
      </c>
      <c r="O17">
        <f t="shared" si="5"/>
        <v>431322.2512497807</v>
      </c>
      <c r="P17">
        <f t="shared" si="5"/>
        <v>345057.80099982454</v>
      </c>
      <c r="Q17">
        <f t="shared" si="5"/>
        <v>905776.72762453952</v>
      </c>
      <c r="R17">
        <f t="shared" si="5"/>
        <v>534839.59154972807</v>
      </c>
    </row>
    <row r="18" spans="1:18" x14ac:dyDescent="0.25">
      <c r="A18" t="s">
        <v>139</v>
      </c>
      <c r="B18" s="25">
        <f t="shared" si="2"/>
        <v>1.2461839278102003</v>
      </c>
      <c r="C18" s="25">
        <f t="shared" si="2"/>
        <v>2.6388520725127571</v>
      </c>
      <c r="D18" s="25">
        <f t="shared" si="4"/>
        <v>0.98605020836414081</v>
      </c>
      <c r="E18" s="25">
        <f t="shared" si="4"/>
        <v>1.9545210747264499</v>
      </c>
      <c r="F18" s="25">
        <f t="shared" si="4"/>
        <v>0.87198526008700605</v>
      </c>
      <c r="G18" s="25">
        <f>G8/G$3</f>
        <v>0.76383333282659038</v>
      </c>
      <c r="M18">
        <f>M11*M15</f>
        <v>531971.38899574068</v>
      </c>
      <c r="N18">
        <f t="shared" ref="N18:R18" si="6">N11*N15</f>
        <v>313735.49886414484</v>
      </c>
      <c r="O18">
        <f t="shared" si="6"/>
        <v>1277986.9501755242</v>
      </c>
      <c r="P18">
        <f t="shared" si="6"/>
        <v>429514.54202122486</v>
      </c>
      <c r="Q18">
        <f t="shared" si="6"/>
        <v>2271293.323873986</v>
      </c>
      <c r="R18">
        <f t="shared" si="6"/>
        <v>808923.62921731209</v>
      </c>
    </row>
    <row r="19" spans="1:18" x14ac:dyDescent="0.25">
      <c r="A19" t="s">
        <v>140</v>
      </c>
      <c r="B19" s="25"/>
      <c r="C19" s="25"/>
      <c r="D19" s="25"/>
      <c r="E19" s="25"/>
      <c r="F19" s="25"/>
      <c r="G19" s="25"/>
      <c r="M19">
        <f>M12*M15</f>
        <v>27819.810004434908</v>
      </c>
      <c r="N19">
        <f t="shared" ref="N19:R19" si="7">N12*N15</f>
        <v>27686.835944803846</v>
      </c>
      <c r="O19">
        <f t="shared" si="7"/>
        <v>51361.383253271364</v>
      </c>
      <c r="P19">
        <f t="shared" si="7"/>
        <v>43632.728472193266</v>
      </c>
      <c r="Q19">
        <f t="shared" si="7"/>
        <v>90840.808440084031</v>
      </c>
      <c r="R19">
        <f t="shared" si="7"/>
        <v>50017.334300150789</v>
      </c>
    </row>
    <row r="20" spans="1:18" x14ac:dyDescent="0.25">
      <c r="A20" t="s">
        <v>161</v>
      </c>
      <c r="B20" s="25">
        <f>B10/$B$3</f>
        <v>3.568043361404766</v>
      </c>
      <c r="C20" s="25">
        <f t="shared" ref="C20:G20" si="8">C10/$B$3</f>
        <v>3.568043361404766</v>
      </c>
      <c r="D20" s="25">
        <f t="shared" si="8"/>
        <v>5.5304604909514428</v>
      </c>
      <c r="E20" s="25">
        <f t="shared" si="8"/>
        <v>3.568043361404766</v>
      </c>
      <c r="F20" s="25">
        <f t="shared" si="8"/>
        <v>9.3661082243325566</v>
      </c>
      <c r="G20" s="25">
        <f t="shared" si="8"/>
        <v>4.4600430030460494</v>
      </c>
    </row>
    <row r="21" spans="1:18" x14ac:dyDescent="0.25">
      <c r="A21" t="s">
        <v>141</v>
      </c>
      <c r="B21" s="25">
        <f t="shared" ref="B21:G23" si="9">B11/B$3</f>
        <v>0.4479483963447411</v>
      </c>
      <c r="C21" s="25">
        <f t="shared" si="9"/>
        <v>0.76248570339306143</v>
      </c>
      <c r="D21" s="25">
        <f t="shared" si="9"/>
        <v>0.38396559668253727</v>
      </c>
      <c r="E21" s="25">
        <f t="shared" si="9"/>
        <v>0.4479483963447411</v>
      </c>
      <c r="F21" s="25">
        <f t="shared" si="9"/>
        <v>0.28797143323382318</v>
      </c>
      <c r="G21" s="25">
        <f t="shared" si="9"/>
        <v>0.45814116856540726</v>
      </c>
    </row>
    <row r="22" spans="1:18" x14ac:dyDescent="0.25">
      <c r="A22" t="s">
        <v>142</v>
      </c>
      <c r="B22" s="25">
        <f t="shared" si="9"/>
        <v>6.8136534671205879</v>
      </c>
      <c r="C22" s="25">
        <f t="shared" si="9"/>
        <v>7.9736942432329396</v>
      </c>
      <c r="D22" s="25">
        <f t="shared" si="9"/>
        <v>4.5263400399324221</v>
      </c>
      <c r="E22" s="25">
        <f t="shared" si="9"/>
        <v>6.8136534671205879</v>
      </c>
      <c r="F22" s="25">
        <f t="shared" si="9"/>
        <v>3.8327461915777956</v>
      </c>
      <c r="G22" s="25">
        <f t="shared" si="9"/>
        <v>2.9036223695061238</v>
      </c>
    </row>
    <row r="23" spans="1:18" x14ac:dyDescent="0.25">
      <c r="A23" t="s">
        <v>143</v>
      </c>
      <c r="B23" s="25">
        <f t="shared" si="9"/>
        <v>5.5998924923848774</v>
      </c>
      <c r="C23" s="25">
        <f t="shared" si="9"/>
        <v>11.200057186427754</v>
      </c>
      <c r="D23" s="25">
        <f t="shared" si="9"/>
        <v>5.6000230379358014</v>
      </c>
      <c r="E23" s="25">
        <f t="shared" si="9"/>
        <v>5.5998924923848774</v>
      </c>
      <c r="F23" s="25">
        <f t="shared" si="9"/>
        <v>5.5999788820948959</v>
      </c>
      <c r="G23" s="25">
        <f t="shared" si="9"/>
        <v>5.600027488470114</v>
      </c>
    </row>
    <row r="24" spans="1:18" x14ac:dyDescent="0.25">
      <c r="A24" s="22" t="s">
        <v>146</v>
      </c>
      <c r="B24" s="67">
        <f>SUM(B16:B23)</f>
        <v>56.962103565669238</v>
      </c>
      <c r="C24" s="67">
        <f t="shared" ref="C24:G24" si="10">SUM(C16:C23)</f>
        <v>74.133724390651068</v>
      </c>
      <c r="D24" s="67">
        <f t="shared" si="10"/>
        <v>49.84263574587726</v>
      </c>
      <c r="E24" s="67">
        <f t="shared" si="10"/>
        <v>53.080902682908203</v>
      </c>
      <c r="F24" s="67">
        <f t="shared" si="10"/>
        <v>50.45563719846897</v>
      </c>
      <c r="G24" s="67">
        <f t="shared" si="10"/>
        <v>34.706775770328527</v>
      </c>
    </row>
    <row r="26" spans="1:18" x14ac:dyDescent="0.25">
      <c r="B26" s="67"/>
    </row>
    <row r="27" spans="1:18" x14ac:dyDescent="0.25">
      <c r="B27" t="s">
        <v>129</v>
      </c>
      <c r="C27" t="s">
        <v>130</v>
      </c>
      <c r="D27" t="s">
        <v>131</v>
      </c>
      <c r="E27" t="s">
        <v>132</v>
      </c>
      <c r="F27" t="s">
        <v>133</v>
      </c>
      <c r="G27" t="s">
        <v>134</v>
      </c>
    </row>
    <row r="28" spans="1:18" x14ac:dyDescent="0.25">
      <c r="A28" t="s">
        <v>145</v>
      </c>
      <c r="B28" s="22">
        <v>1</v>
      </c>
      <c r="C28" s="22">
        <v>2</v>
      </c>
      <c r="D28" s="22">
        <v>1</v>
      </c>
      <c r="E28" s="22">
        <v>2</v>
      </c>
      <c r="F28" s="22">
        <v>1</v>
      </c>
      <c r="G28" s="22">
        <v>2</v>
      </c>
    </row>
    <row r="29" spans="1:18" x14ac:dyDescent="0.25">
      <c r="B29" s="66">
        <v>22324</v>
      </c>
      <c r="C29" s="66">
        <v>10492</v>
      </c>
      <c r="D29" s="66">
        <v>52088</v>
      </c>
      <c r="E29" s="66">
        <v>22324</v>
      </c>
      <c r="F29" s="66">
        <v>104177</v>
      </c>
      <c r="G29" s="66">
        <v>65482</v>
      </c>
    </row>
    <row r="30" spans="1:18" x14ac:dyDescent="0.25">
      <c r="A30" t="s">
        <v>154</v>
      </c>
      <c r="B30" s="66">
        <f>B29/'MRF Labor Requirements'!$B$20</f>
        <v>101.47272727272727</v>
      </c>
      <c r="C30" s="66">
        <f>C29/'MRF Labor Requirements'!$B$20</f>
        <v>47.690909090909088</v>
      </c>
      <c r="D30" s="66">
        <f>D29/'MRF Labor Requirements'!$B$20</f>
        <v>236.76363636363635</v>
      </c>
      <c r="E30" s="66">
        <f>E29/'MRF Labor Requirements'!$B$20</f>
        <v>101.47272727272727</v>
      </c>
      <c r="F30" s="66">
        <f>F29/'MRF Labor Requirements'!$B$20</f>
        <v>473.53181818181821</v>
      </c>
      <c r="G30" s="66">
        <f>G29/'MRF Labor Requirements'!$B$20</f>
        <v>297.64545454545453</v>
      </c>
    </row>
    <row r="31" spans="1:18" x14ac:dyDescent="0.25">
      <c r="A31" t="s">
        <v>135</v>
      </c>
      <c r="B31" s="65">
        <v>20000</v>
      </c>
      <c r="C31" s="65">
        <v>10000</v>
      </c>
      <c r="D31" s="65">
        <v>50000</v>
      </c>
      <c r="E31" s="65">
        <v>20000</v>
      </c>
      <c r="F31" s="65">
        <v>105000</v>
      </c>
      <c r="G31" s="65">
        <v>65000</v>
      </c>
    </row>
    <row r="32" spans="1:18" x14ac:dyDescent="0.25">
      <c r="A32" t="s">
        <v>137</v>
      </c>
      <c r="B32" s="68">
        <v>5168000</v>
      </c>
      <c r="C32" s="68">
        <v>2842400</v>
      </c>
      <c r="D32" s="68">
        <v>6460000</v>
      </c>
      <c r="E32" s="68">
        <v>5168000</v>
      </c>
      <c r="F32" s="68">
        <v>13566000</v>
      </c>
      <c r="G32" s="68">
        <v>8010400</v>
      </c>
    </row>
    <row r="33" spans="1:7" x14ac:dyDescent="0.25">
      <c r="A33" t="s">
        <v>138</v>
      </c>
      <c r="B33" s="68">
        <v>4050000</v>
      </c>
      <c r="C33" s="68">
        <v>2400000</v>
      </c>
      <c r="D33" s="68">
        <v>9300000</v>
      </c>
      <c r="E33" s="68">
        <v>3250000</v>
      </c>
      <c r="F33" s="68">
        <v>17600000</v>
      </c>
      <c r="G33" s="68">
        <v>6750000</v>
      </c>
    </row>
    <row r="34" spans="1:7" x14ac:dyDescent="0.25">
      <c r="A34" t="s">
        <v>139</v>
      </c>
      <c r="B34" s="68">
        <v>170000</v>
      </c>
      <c r="C34" s="68">
        <v>170000</v>
      </c>
      <c r="D34" s="68">
        <v>300000</v>
      </c>
      <c r="E34" s="68">
        <v>265000</v>
      </c>
      <c r="F34" s="68">
        <v>565000</v>
      </c>
      <c r="G34" s="68">
        <v>335000</v>
      </c>
    </row>
    <row r="35" spans="1:7" x14ac:dyDescent="0.25">
      <c r="A35" t="s">
        <v>140</v>
      </c>
      <c r="C35" s="25"/>
      <c r="D35" s="25"/>
      <c r="E35" s="25"/>
      <c r="F35" s="25"/>
      <c r="G35" s="25"/>
    </row>
    <row r="36" spans="1:7" x14ac:dyDescent="0.25">
      <c r="A36" t="s">
        <v>141</v>
      </c>
      <c r="B36" s="25">
        <v>10000</v>
      </c>
      <c r="C36" s="25">
        <v>8000</v>
      </c>
      <c r="D36" s="25">
        <v>20000</v>
      </c>
      <c r="E36" s="25">
        <v>10000</v>
      </c>
      <c r="F36" s="25">
        <v>30000</v>
      </c>
      <c r="G36" s="25">
        <v>30000</v>
      </c>
    </row>
    <row r="37" spans="1:7" x14ac:dyDescent="0.25">
      <c r="A37" t="s">
        <v>142</v>
      </c>
      <c r="B37" s="25">
        <v>152108</v>
      </c>
      <c r="C37" s="25">
        <v>83660</v>
      </c>
      <c r="D37" s="25">
        <v>235768</v>
      </c>
      <c r="E37" s="25">
        <v>152108</v>
      </c>
      <c r="F37" s="25">
        <v>399284</v>
      </c>
      <c r="G37" s="25">
        <v>190135</v>
      </c>
    </row>
    <row r="38" spans="1:7" x14ac:dyDescent="0.25">
      <c r="A38" t="s">
        <v>143</v>
      </c>
      <c r="B38" s="25">
        <v>125012</v>
      </c>
      <c r="C38" s="25">
        <v>117511</v>
      </c>
      <c r="D38" s="25">
        <v>291694</v>
      </c>
      <c r="E38" s="25">
        <v>125012</v>
      </c>
      <c r="F38" s="25">
        <v>583389</v>
      </c>
      <c r="G38" s="25">
        <v>366701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29"/>
  <sheetViews>
    <sheetView workbookViewId="0">
      <selection activeCell="B27" sqref="B27"/>
    </sheetView>
  </sheetViews>
  <sheetFormatPr defaultRowHeight="15" x14ac:dyDescent="0.25"/>
  <cols>
    <col min="1" max="7" width="17.7109375" customWidth="1"/>
  </cols>
  <sheetData>
    <row r="1" spans="1:4" x14ac:dyDescent="0.25">
      <c r="A1" s="10"/>
      <c r="B1" s="60">
        <v>10</v>
      </c>
      <c r="C1" s="60">
        <v>100</v>
      </c>
      <c r="D1" s="60">
        <v>500</v>
      </c>
    </row>
    <row r="2" spans="1:4" x14ac:dyDescent="0.25">
      <c r="A2" s="1" t="s">
        <v>93</v>
      </c>
      <c r="B2" s="14">
        <v>1</v>
      </c>
      <c r="C2" s="14">
        <v>1</v>
      </c>
      <c r="D2" s="14">
        <v>1</v>
      </c>
    </row>
    <row r="3" spans="1:4" x14ac:dyDescent="0.25">
      <c r="A3" s="1" t="s">
        <v>94</v>
      </c>
      <c r="B3" s="14">
        <v>1</v>
      </c>
      <c r="C3" s="14">
        <v>1.5</v>
      </c>
      <c r="D3" s="14">
        <v>3.5</v>
      </c>
    </row>
    <row r="4" spans="1:4" x14ac:dyDescent="0.25">
      <c r="A4" s="1" t="s">
        <v>56</v>
      </c>
      <c r="B4" s="14">
        <v>1.5</v>
      </c>
      <c r="C4" s="14">
        <v>19</v>
      </c>
      <c r="D4" s="14">
        <v>70</v>
      </c>
    </row>
    <row r="5" spans="1:4" x14ac:dyDescent="0.25">
      <c r="A5" s="1" t="s">
        <v>95</v>
      </c>
      <c r="B5" s="14">
        <v>1</v>
      </c>
      <c r="C5" s="14">
        <v>1.5</v>
      </c>
      <c r="D5" s="14">
        <v>4</v>
      </c>
    </row>
    <row r="6" spans="1:4" x14ac:dyDescent="0.25">
      <c r="A6" s="1" t="s">
        <v>96</v>
      </c>
      <c r="B6" s="14">
        <v>0</v>
      </c>
      <c r="C6" s="14">
        <v>4.5</v>
      </c>
      <c r="D6" s="14">
        <v>11</v>
      </c>
    </row>
    <row r="7" spans="1:4" x14ac:dyDescent="0.25">
      <c r="A7" s="1" t="s">
        <v>97</v>
      </c>
      <c r="B7" s="14">
        <v>0</v>
      </c>
      <c r="C7" s="14">
        <v>1.5</v>
      </c>
      <c r="D7" s="14">
        <v>2.5</v>
      </c>
    </row>
    <row r="8" spans="1:4" x14ac:dyDescent="0.25">
      <c r="A8" s="52" t="s">
        <v>99</v>
      </c>
      <c r="B8" s="56">
        <f>SUM(B2:B7)</f>
        <v>4.5</v>
      </c>
      <c r="C8" s="56">
        <f t="shared" ref="C8:D8" si="0">SUM(C2:C7)</f>
        <v>29</v>
      </c>
      <c r="D8" s="56">
        <f t="shared" si="0"/>
        <v>92</v>
      </c>
    </row>
    <row r="11" spans="1:4" x14ac:dyDescent="0.25">
      <c r="A11" s="1" t="s">
        <v>148</v>
      </c>
      <c r="B11" s="1">
        <v>0</v>
      </c>
    </row>
    <row r="12" spans="1:4" x14ac:dyDescent="0.25">
      <c r="A12" s="1" t="s">
        <v>149</v>
      </c>
      <c r="B12" s="1">
        <f>(C3-B3)/90</f>
        <v>5.5555555555555558E-3</v>
      </c>
    </row>
    <row r="13" spans="1:4" x14ac:dyDescent="0.25">
      <c r="A13" s="1" t="s">
        <v>150</v>
      </c>
      <c r="B13" s="1">
        <f>(C4-B4)/90</f>
        <v>0.19444444444444445</v>
      </c>
    </row>
    <row r="14" spans="1:4" x14ac:dyDescent="0.25">
      <c r="A14" s="1" t="s">
        <v>151</v>
      </c>
      <c r="B14" s="1">
        <f t="shared" ref="B14:B16" si="1">(C5-B5)/90</f>
        <v>5.5555555555555558E-3</v>
      </c>
    </row>
    <row r="15" spans="1:4" x14ac:dyDescent="0.25">
      <c r="A15" s="1" t="s">
        <v>152</v>
      </c>
      <c r="B15" s="1">
        <f t="shared" si="1"/>
        <v>0.05</v>
      </c>
    </row>
    <row r="16" spans="1:4" x14ac:dyDescent="0.25">
      <c r="A16" s="1" t="s">
        <v>153</v>
      </c>
      <c r="B16" s="1">
        <f t="shared" si="1"/>
        <v>1.6666666666666666E-2</v>
      </c>
    </row>
    <row r="21" spans="1:2" x14ac:dyDescent="0.25">
      <c r="A21" t="s">
        <v>130</v>
      </c>
      <c r="B21" t="s">
        <v>174</v>
      </c>
    </row>
    <row r="22" spans="1:2" x14ac:dyDescent="0.25">
      <c r="A22" t="s">
        <v>132</v>
      </c>
      <c r="B22" t="s">
        <v>175</v>
      </c>
    </row>
    <row r="23" spans="1:2" x14ac:dyDescent="0.25">
      <c r="A23" t="s">
        <v>134</v>
      </c>
      <c r="B23" t="s">
        <v>176</v>
      </c>
    </row>
    <row r="24" spans="1:2" x14ac:dyDescent="0.25">
      <c r="A24" t="s">
        <v>129</v>
      </c>
      <c r="B24" t="s">
        <v>177</v>
      </c>
    </row>
    <row r="25" spans="1:2" x14ac:dyDescent="0.25">
      <c r="A25" t="s">
        <v>131</v>
      </c>
      <c r="B25" t="s">
        <v>178</v>
      </c>
    </row>
    <row r="26" spans="1:2" x14ac:dyDescent="0.25">
      <c r="A26" t="s">
        <v>133</v>
      </c>
      <c r="B26" t="s">
        <v>179</v>
      </c>
    </row>
    <row r="28" spans="1:2" x14ac:dyDescent="0.25">
      <c r="A28" t="s">
        <v>124</v>
      </c>
      <c r="B28" t="s">
        <v>173</v>
      </c>
    </row>
    <row r="29" spans="1:2" x14ac:dyDescent="0.25">
      <c r="A29" t="s">
        <v>125</v>
      </c>
      <c r="B29" t="s">
        <v>172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9"/>
  <sheetViews>
    <sheetView workbookViewId="0">
      <selection activeCell="Z15" sqref="Z15"/>
    </sheetView>
  </sheetViews>
  <sheetFormatPr defaultRowHeight="15" x14ac:dyDescent="0.25"/>
  <sheetData>
    <row r="1" spans="1:1" x14ac:dyDescent="0.25">
      <c r="A1" t="s">
        <v>184</v>
      </c>
    </row>
    <row r="3" spans="1:1" x14ac:dyDescent="0.25">
      <c r="A3" t="s">
        <v>183</v>
      </c>
    </row>
    <row r="4" spans="1:1" x14ac:dyDescent="0.25">
      <c r="A4" t="s">
        <v>181</v>
      </c>
    </row>
    <row r="5" spans="1:1" x14ac:dyDescent="0.25">
      <c r="A5" t="s">
        <v>182</v>
      </c>
    </row>
    <row r="7" spans="1:1" x14ac:dyDescent="0.25">
      <c r="A7" t="s">
        <v>185</v>
      </c>
    </row>
    <row r="9" spans="1:1" x14ac:dyDescent="0.25">
      <c r="A9" t="s">
        <v>186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39"/>
  <sheetViews>
    <sheetView workbookViewId="0">
      <selection activeCell="T26" sqref="T26"/>
    </sheetView>
  </sheetViews>
  <sheetFormatPr defaultRowHeight="15" x14ac:dyDescent="0.25"/>
  <cols>
    <col min="1" max="1" width="9.42578125" bestFit="1" customWidth="1"/>
  </cols>
  <sheetData>
    <row r="1" spans="1:6" x14ac:dyDescent="0.25">
      <c r="A1" s="65">
        <v>5000</v>
      </c>
      <c r="B1" s="25">
        <v>138.14210356566926</v>
      </c>
      <c r="E1" s="65">
        <v>5000</v>
      </c>
      <c r="F1" s="25">
        <v>155.31372439065109</v>
      </c>
    </row>
    <row r="2" spans="1:6" x14ac:dyDescent="0.25">
      <c r="A2" s="65">
        <v>15000</v>
      </c>
      <c r="B2" s="25">
        <v>100.19210356566924</v>
      </c>
      <c r="E2" s="65">
        <v>15000</v>
      </c>
      <c r="F2" s="25">
        <v>96.310902682908221</v>
      </c>
    </row>
    <row r="3" spans="1:6" x14ac:dyDescent="0.25">
      <c r="A3" s="65">
        <v>25000</v>
      </c>
      <c r="B3" s="25">
        <v>84.492635745877266</v>
      </c>
      <c r="E3" s="65">
        <v>25000</v>
      </c>
      <c r="F3" s="25">
        <v>87.730902682908194</v>
      </c>
    </row>
    <row r="4" spans="1:6" x14ac:dyDescent="0.25">
      <c r="A4" s="65">
        <v>35000</v>
      </c>
      <c r="B4" s="25">
        <v>81.522635745877281</v>
      </c>
      <c r="E4" s="65">
        <v>35000</v>
      </c>
      <c r="F4" s="25">
        <v>84.760902682908196</v>
      </c>
    </row>
    <row r="5" spans="1:6" x14ac:dyDescent="0.25">
      <c r="A5" s="65">
        <v>45000</v>
      </c>
      <c r="B5" s="25">
        <v>82.33</v>
      </c>
      <c r="E5" s="65">
        <v>45000</v>
      </c>
      <c r="F5" s="25">
        <v>85.567569349574882</v>
      </c>
    </row>
    <row r="6" spans="1:6" x14ac:dyDescent="0.25">
      <c r="A6" s="65">
        <v>55000</v>
      </c>
      <c r="B6" s="25">
        <v>80.832635745877269</v>
      </c>
      <c r="E6" s="65">
        <v>55000</v>
      </c>
      <c r="F6" s="25">
        <v>84.070902682908184</v>
      </c>
    </row>
    <row r="7" spans="1:6" x14ac:dyDescent="0.25">
      <c r="A7" s="65">
        <v>65000</v>
      </c>
      <c r="B7" s="25">
        <v>79.111097284338811</v>
      </c>
      <c r="E7" s="65">
        <v>65000</v>
      </c>
      <c r="F7" s="25">
        <v>63.975237308790064</v>
      </c>
    </row>
    <row r="8" spans="1:6" x14ac:dyDescent="0.25">
      <c r="A8" s="65">
        <v>75000</v>
      </c>
      <c r="B8" s="25">
        <v>78.706635745877264</v>
      </c>
      <c r="E8" s="65">
        <v>75000</v>
      </c>
      <c r="F8" s="25">
        <v>63.570775770328531</v>
      </c>
    </row>
    <row r="9" spans="1:6" x14ac:dyDescent="0.25">
      <c r="A9" s="65">
        <v>85000</v>
      </c>
      <c r="B9" s="25">
        <v>79.232047510583158</v>
      </c>
      <c r="E9" s="65">
        <v>85000</v>
      </c>
      <c r="F9" s="25">
        <v>64.096187535034417</v>
      </c>
    </row>
    <row r="10" spans="1:6" x14ac:dyDescent="0.25">
      <c r="A10" s="65">
        <v>95000</v>
      </c>
      <c r="B10" s="25">
        <v>78.691583114298325</v>
      </c>
      <c r="E10" s="65">
        <v>95000</v>
      </c>
      <c r="F10" s="25">
        <v>63.555723138749578</v>
      </c>
    </row>
    <row r="11" spans="1:6" x14ac:dyDescent="0.25">
      <c r="A11" s="65">
        <v>105000</v>
      </c>
      <c r="B11" s="25">
        <v>78.294874551847414</v>
      </c>
      <c r="E11" s="65">
        <v>105000</v>
      </c>
      <c r="F11" s="25">
        <v>62.882490056042819</v>
      </c>
    </row>
    <row r="12" spans="1:6" x14ac:dyDescent="0.25">
      <c r="A12" s="65">
        <v>115000</v>
      </c>
      <c r="B12" s="25">
        <v>78.462593720208105</v>
      </c>
      <c r="E12" s="65">
        <v>115000</v>
      </c>
      <c r="F12" s="25">
        <v>62.713732292067661</v>
      </c>
    </row>
    <row r="13" spans="1:6" x14ac:dyDescent="0.25">
      <c r="A13" s="65">
        <v>125000</v>
      </c>
      <c r="B13" s="25">
        <v>78.730037198468963</v>
      </c>
      <c r="E13" s="65">
        <v>125000</v>
      </c>
      <c r="F13" s="25">
        <v>62.981175770328527</v>
      </c>
    </row>
    <row r="14" spans="1:6" x14ac:dyDescent="0.25">
      <c r="A14" s="65">
        <v>135000</v>
      </c>
      <c r="B14" s="25">
        <v>78.432303865135651</v>
      </c>
      <c r="E14" s="65">
        <v>135000</v>
      </c>
      <c r="F14" s="25">
        <v>62.683442436995193</v>
      </c>
    </row>
    <row r="15" spans="1:6" x14ac:dyDescent="0.25">
      <c r="A15" s="65">
        <v>145000</v>
      </c>
      <c r="B15" s="25">
        <v>77.92</v>
      </c>
      <c r="E15" s="65">
        <v>145000</v>
      </c>
      <c r="F15" s="25">
        <v>62.256086115156116</v>
      </c>
    </row>
    <row r="16" spans="1:6" x14ac:dyDescent="0.25">
      <c r="A16" s="65">
        <v>155000</v>
      </c>
      <c r="B16" s="25">
        <v>78.275637198468971</v>
      </c>
      <c r="E16" s="65">
        <v>155000</v>
      </c>
      <c r="F16" s="25">
        <v>62.171291899360774</v>
      </c>
    </row>
    <row r="17" spans="1:6" x14ac:dyDescent="0.25">
      <c r="A17" s="65">
        <v>165000</v>
      </c>
      <c r="B17" s="25">
        <v>78.071922912754687</v>
      </c>
      <c r="E17" s="65">
        <v>165000</v>
      </c>
      <c r="F17" s="25">
        <v>62.526775770328513</v>
      </c>
    </row>
    <row r="18" spans="1:6" x14ac:dyDescent="0.25">
      <c r="A18" s="65">
        <v>175000</v>
      </c>
      <c r="B18" s="25">
        <v>77.997258820090593</v>
      </c>
      <c r="E18" s="65">
        <v>175000</v>
      </c>
      <c r="F18" s="25">
        <v>62.323061484614236</v>
      </c>
    </row>
    <row r="19" spans="1:6" x14ac:dyDescent="0.25">
      <c r="A19" s="65">
        <v>185000</v>
      </c>
      <c r="B19" s="25">
        <v>77.600252583084369</v>
      </c>
      <c r="E19" s="65">
        <v>185000</v>
      </c>
      <c r="F19" s="25">
        <v>62.248397391950149</v>
      </c>
    </row>
    <row r="20" spans="1:6" x14ac:dyDescent="0.25">
      <c r="A20" s="65">
        <v>195000</v>
      </c>
      <c r="B20" s="25">
        <v>78.09313719846898</v>
      </c>
      <c r="E20" s="65">
        <v>195000</v>
      </c>
      <c r="F20" s="25">
        <v>61.851391154943926</v>
      </c>
    </row>
    <row r="21" spans="1:6" x14ac:dyDescent="0.25">
      <c r="A21" s="65">
        <v>205000</v>
      </c>
      <c r="B21" s="25">
        <v>77.901978661883618</v>
      </c>
      <c r="E21" s="65">
        <v>205000</v>
      </c>
      <c r="F21" s="25">
        <v>62.153117233743153</v>
      </c>
    </row>
    <row r="22" spans="1:6" x14ac:dyDescent="0.25">
      <c r="B22" s="25"/>
    </row>
    <row r="23" spans="1:6" x14ac:dyDescent="0.25">
      <c r="A23" s="67">
        <f>MIN(B1:B21)</f>
        <v>77.600252583084369</v>
      </c>
      <c r="B23" s="25"/>
      <c r="F23" s="67">
        <f>MIN(F1:F21)</f>
        <v>61.851391154943926</v>
      </c>
    </row>
    <row r="24" spans="1:6" x14ac:dyDescent="0.25">
      <c r="B24" s="25"/>
    </row>
    <row r="25" spans="1:6" x14ac:dyDescent="0.25">
      <c r="B25" s="25"/>
    </row>
    <row r="39" ht="14.25" customHeight="1" x14ac:dyDescent="0.25"/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1"/>
  <sheetViews>
    <sheetView workbookViewId="0">
      <selection activeCell="C22" sqref="C22"/>
    </sheetView>
  </sheetViews>
  <sheetFormatPr defaultRowHeight="15" x14ac:dyDescent="0.25"/>
  <cols>
    <col min="1" max="1" width="30.7109375" customWidth="1"/>
    <col min="2" max="2" width="17.5703125" customWidth="1"/>
    <col min="4" max="4" width="18.140625" customWidth="1"/>
    <col min="5" max="5" width="17.7109375" customWidth="1"/>
    <col min="6" max="6" width="15" customWidth="1"/>
    <col min="10" max="10" width="15.5703125" customWidth="1"/>
  </cols>
  <sheetData>
    <row r="1" spans="1:2" ht="15" customHeight="1" x14ac:dyDescent="0.25">
      <c r="A1" s="108" t="s">
        <v>1</v>
      </c>
      <c r="B1" s="107" t="s">
        <v>3</v>
      </c>
    </row>
    <row r="2" spans="1:2" ht="32.25" customHeight="1" x14ac:dyDescent="0.25">
      <c r="A2" s="108"/>
      <c r="B2" s="108"/>
    </row>
    <row r="3" spans="1:2" x14ac:dyDescent="0.25">
      <c r="A3" s="4" t="s">
        <v>4</v>
      </c>
      <c r="B3" s="11">
        <v>182</v>
      </c>
    </row>
    <row r="4" spans="1:2" x14ac:dyDescent="0.25">
      <c r="A4" s="4" t="s">
        <v>5</v>
      </c>
      <c r="B4" s="12">
        <v>182</v>
      </c>
    </row>
    <row r="5" spans="1:2" x14ac:dyDescent="0.25">
      <c r="A5" s="4" t="s">
        <v>6</v>
      </c>
      <c r="B5" s="12">
        <v>182</v>
      </c>
    </row>
    <row r="6" spans="1:2" x14ac:dyDescent="0.25">
      <c r="A6" s="4" t="s">
        <v>7</v>
      </c>
      <c r="B6" s="12">
        <v>206</v>
      </c>
    </row>
    <row r="7" spans="1:2" x14ac:dyDescent="0.25">
      <c r="A7" s="4" t="s">
        <v>8</v>
      </c>
      <c r="B7" s="12">
        <v>206</v>
      </c>
    </row>
    <row r="8" spans="1:2" x14ac:dyDescent="0.25">
      <c r="A8" s="5"/>
      <c r="B8" s="13"/>
    </row>
    <row r="9" spans="1:2" x14ac:dyDescent="0.25">
      <c r="A9" s="4" t="s">
        <v>9</v>
      </c>
      <c r="B9" s="12">
        <v>95</v>
      </c>
    </row>
    <row r="10" spans="1:2" x14ac:dyDescent="0.25">
      <c r="A10" s="4" t="s">
        <v>10</v>
      </c>
      <c r="B10" s="12">
        <v>95</v>
      </c>
    </row>
    <row r="11" spans="1:2" x14ac:dyDescent="0.25">
      <c r="A11" s="4" t="s">
        <v>11</v>
      </c>
      <c r="B11" s="12">
        <v>55</v>
      </c>
    </row>
    <row r="12" spans="1:2" x14ac:dyDescent="0.25">
      <c r="A12" s="4" t="s">
        <v>12</v>
      </c>
      <c r="B12" s="12">
        <v>55</v>
      </c>
    </row>
    <row r="13" spans="1:2" x14ac:dyDescent="0.25">
      <c r="A13" s="4" t="s">
        <v>13</v>
      </c>
      <c r="B13" s="12">
        <v>55</v>
      </c>
    </row>
    <row r="14" spans="1:2" x14ac:dyDescent="0.25">
      <c r="A14" s="5"/>
      <c r="B14" s="13"/>
    </row>
    <row r="15" spans="1:2" x14ac:dyDescent="0.25">
      <c r="A15" s="4" t="s">
        <v>14</v>
      </c>
      <c r="B15" s="12">
        <v>28</v>
      </c>
    </row>
    <row r="16" spans="1:2" x14ac:dyDescent="0.25">
      <c r="A16" s="4" t="s">
        <v>15</v>
      </c>
      <c r="B16" s="12">
        <v>28</v>
      </c>
    </row>
    <row r="17" spans="1:2" x14ac:dyDescent="0.25">
      <c r="A17" s="4" t="s">
        <v>16</v>
      </c>
      <c r="B17" s="12">
        <v>29</v>
      </c>
    </row>
    <row r="18" spans="1:2" x14ac:dyDescent="0.25">
      <c r="A18" s="4" t="s">
        <v>17</v>
      </c>
      <c r="B18" s="12">
        <v>29</v>
      </c>
    </row>
    <row r="19" spans="1:2" x14ac:dyDescent="0.25">
      <c r="A19" s="4" t="s">
        <v>18</v>
      </c>
      <c r="B19" s="12">
        <v>29</v>
      </c>
    </row>
    <row r="20" spans="1:2" x14ac:dyDescent="0.25">
      <c r="A20" s="4" t="s">
        <v>0</v>
      </c>
      <c r="B20" s="12">
        <v>29</v>
      </c>
    </row>
    <row r="21" spans="1:2" x14ac:dyDescent="0.25">
      <c r="A21" s="5"/>
      <c r="B21" s="13"/>
    </row>
    <row r="22" spans="1:2" x14ac:dyDescent="0.25">
      <c r="A22" s="4" t="s">
        <v>19</v>
      </c>
      <c r="B22" s="12">
        <v>87</v>
      </c>
    </row>
    <row r="23" spans="1:2" x14ac:dyDescent="0.25">
      <c r="A23" s="4" t="s">
        <v>20</v>
      </c>
      <c r="B23" s="12">
        <v>87</v>
      </c>
    </row>
    <row r="24" spans="1:2" x14ac:dyDescent="0.25">
      <c r="A24" s="4" t="s">
        <v>21</v>
      </c>
      <c r="B24" s="12">
        <v>87</v>
      </c>
    </row>
    <row r="25" spans="1:2" x14ac:dyDescent="0.25">
      <c r="A25" s="6"/>
      <c r="B25" s="13"/>
    </row>
    <row r="26" spans="1:2" x14ac:dyDescent="0.25">
      <c r="A26" s="4" t="s">
        <v>22</v>
      </c>
      <c r="B26" s="12">
        <v>34</v>
      </c>
    </row>
    <row r="27" spans="1:2" x14ac:dyDescent="0.25">
      <c r="A27" s="4" t="s">
        <v>23</v>
      </c>
      <c r="B27" s="12">
        <v>34</v>
      </c>
    </row>
    <row r="28" spans="1:2" x14ac:dyDescent="0.25">
      <c r="A28" s="6"/>
      <c r="B28" s="13"/>
    </row>
    <row r="29" spans="1:2" x14ac:dyDescent="0.25">
      <c r="A29" s="4" t="s">
        <v>24</v>
      </c>
      <c r="B29" s="12">
        <v>500</v>
      </c>
    </row>
    <row r="30" spans="1:2" x14ac:dyDescent="0.25">
      <c r="A30" s="4" t="s">
        <v>25</v>
      </c>
      <c r="B30" s="12">
        <v>500</v>
      </c>
    </row>
    <row r="31" spans="1:2" x14ac:dyDescent="0.25">
      <c r="A31" s="7"/>
      <c r="B31" s="10"/>
    </row>
  </sheetData>
  <sheetProtection sheet="1" objects="1" scenarios="1" selectLockedCells="1"/>
  <mergeCells count="2">
    <mergeCell ref="B1:B2"/>
    <mergeCell ref="A1: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1"/>
  <sheetViews>
    <sheetView workbookViewId="0">
      <selection activeCell="H28" sqref="H28"/>
    </sheetView>
  </sheetViews>
  <sheetFormatPr defaultRowHeight="15" x14ac:dyDescent="0.25"/>
  <cols>
    <col min="1" max="1" width="30.7109375" customWidth="1"/>
    <col min="2" max="2" width="17.5703125" customWidth="1"/>
    <col min="3" max="3" width="16.140625" customWidth="1"/>
    <col min="4" max="4" width="18.140625" customWidth="1"/>
    <col min="5" max="5" width="17.7109375" customWidth="1"/>
  </cols>
  <sheetData>
    <row r="1" spans="1:12" ht="15" customHeight="1" x14ac:dyDescent="0.25">
      <c r="A1" s="108" t="s">
        <v>1</v>
      </c>
      <c r="B1" s="109" t="s">
        <v>26</v>
      </c>
      <c r="C1" s="111" t="s">
        <v>2</v>
      </c>
      <c r="D1" s="112"/>
      <c r="E1" s="107" t="s">
        <v>29</v>
      </c>
      <c r="K1">
        <v>1</v>
      </c>
      <c r="L1" t="s">
        <v>30</v>
      </c>
    </row>
    <row r="2" spans="1:12" x14ac:dyDescent="0.25">
      <c r="A2" s="108"/>
      <c r="B2" s="110"/>
      <c r="C2" s="3" t="s">
        <v>27</v>
      </c>
      <c r="D2" s="3" t="s">
        <v>28</v>
      </c>
      <c r="E2" s="108"/>
      <c r="K2">
        <v>2</v>
      </c>
      <c r="L2" t="s">
        <v>31</v>
      </c>
    </row>
    <row r="3" spans="1:12" x14ac:dyDescent="0.25">
      <c r="A3" s="4" t="s">
        <v>4</v>
      </c>
      <c r="B3" s="11"/>
      <c r="C3" s="8"/>
      <c r="D3" s="8"/>
      <c r="E3" s="8"/>
    </row>
    <row r="4" spans="1:12" x14ac:dyDescent="0.25">
      <c r="A4" s="4" t="s">
        <v>5</v>
      </c>
      <c r="B4" s="11"/>
      <c r="C4" s="8"/>
      <c r="D4" s="8"/>
      <c r="E4" s="8"/>
    </row>
    <row r="5" spans="1:12" x14ac:dyDescent="0.25">
      <c r="A5" s="4" t="s">
        <v>6</v>
      </c>
      <c r="B5" s="11"/>
      <c r="C5" s="8"/>
      <c r="D5" s="8"/>
      <c r="E5" s="8"/>
    </row>
    <row r="6" spans="1:12" x14ac:dyDescent="0.25">
      <c r="A6" s="4" t="s">
        <v>7</v>
      </c>
      <c r="B6" s="11"/>
      <c r="C6" s="8"/>
      <c r="D6" s="8"/>
      <c r="E6" s="8"/>
    </row>
    <row r="7" spans="1:12" x14ac:dyDescent="0.25">
      <c r="A7" s="4" t="s">
        <v>8</v>
      </c>
      <c r="B7" s="11"/>
      <c r="C7" s="8"/>
      <c r="D7" s="8"/>
      <c r="E7" s="8"/>
    </row>
    <row r="8" spans="1:12" x14ac:dyDescent="0.25">
      <c r="A8" s="5"/>
      <c r="B8" s="13"/>
      <c r="C8" s="9"/>
      <c r="D8" s="9"/>
      <c r="E8" s="13"/>
    </row>
    <row r="9" spans="1:12" x14ac:dyDescent="0.25">
      <c r="A9" s="4" t="s">
        <v>9</v>
      </c>
      <c r="B9" s="11"/>
      <c r="C9" s="8"/>
      <c r="D9" s="8"/>
      <c r="E9" s="8"/>
    </row>
    <row r="10" spans="1:12" x14ac:dyDescent="0.25">
      <c r="A10" s="4" t="s">
        <v>10</v>
      </c>
      <c r="B10" s="11"/>
      <c r="C10" s="8"/>
      <c r="D10" s="8"/>
      <c r="E10" s="8"/>
    </row>
    <row r="11" spans="1:12" x14ac:dyDescent="0.25">
      <c r="A11" s="4" t="s">
        <v>11</v>
      </c>
      <c r="B11" s="11"/>
      <c r="C11" s="8"/>
      <c r="D11" s="8"/>
      <c r="E11" s="8"/>
    </row>
    <row r="12" spans="1:12" x14ac:dyDescent="0.25">
      <c r="A12" s="4" t="s">
        <v>12</v>
      </c>
      <c r="B12" s="11"/>
      <c r="C12" s="8"/>
      <c r="D12" s="8"/>
      <c r="E12" s="8"/>
    </row>
    <row r="13" spans="1:12" x14ac:dyDescent="0.25">
      <c r="A13" s="4" t="s">
        <v>13</v>
      </c>
      <c r="B13" s="11"/>
      <c r="C13" s="8"/>
      <c r="D13" s="8"/>
      <c r="E13" s="8"/>
    </row>
    <row r="14" spans="1:12" x14ac:dyDescent="0.25">
      <c r="A14" s="5"/>
      <c r="B14" s="13"/>
      <c r="C14" s="9"/>
      <c r="D14" s="9"/>
      <c r="E14" s="13"/>
    </row>
    <row r="15" spans="1:12" x14ac:dyDescent="0.25">
      <c r="A15" s="4" t="s">
        <v>14</v>
      </c>
      <c r="B15" s="11"/>
      <c r="C15" s="8"/>
      <c r="D15" s="8"/>
      <c r="E15" s="8"/>
    </row>
    <row r="16" spans="1:12" x14ac:dyDescent="0.25">
      <c r="A16" s="4" t="s">
        <v>15</v>
      </c>
      <c r="B16" s="11"/>
      <c r="C16" s="8"/>
      <c r="D16" s="8"/>
      <c r="E16" s="8"/>
    </row>
    <row r="17" spans="1:5" x14ac:dyDescent="0.25">
      <c r="A17" s="4" t="s">
        <v>16</v>
      </c>
      <c r="B17" s="11"/>
      <c r="C17" s="8"/>
      <c r="D17" s="8"/>
      <c r="E17" s="8"/>
    </row>
    <row r="18" spans="1:5" x14ac:dyDescent="0.25">
      <c r="A18" s="4" t="s">
        <v>17</v>
      </c>
      <c r="B18" s="11"/>
      <c r="C18" s="8"/>
      <c r="D18" s="8"/>
      <c r="E18" s="8"/>
    </row>
    <row r="19" spans="1:5" x14ac:dyDescent="0.25">
      <c r="A19" s="4" t="s">
        <v>18</v>
      </c>
      <c r="B19" s="11"/>
      <c r="C19" s="8"/>
      <c r="D19" s="8"/>
      <c r="E19" s="8"/>
    </row>
    <row r="20" spans="1:5" x14ac:dyDescent="0.25">
      <c r="A20" s="4" t="s">
        <v>0</v>
      </c>
      <c r="B20" s="11"/>
      <c r="C20" s="8"/>
      <c r="D20" s="8"/>
      <c r="E20" s="8"/>
    </row>
    <row r="21" spans="1:5" x14ac:dyDescent="0.25">
      <c r="A21" s="5"/>
      <c r="B21" s="13"/>
      <c r="C21" s="9"/>
      <c r="D21" s="9"/>
      <c r="E21" s="13"/>
    </row>
    <row r="22" spans="1:5" x14ac:dyDescent="0.25">
      <c r="A22" s="4" t="s">
        <v>19</v>
      </c>
      <c r="B22" s="11"/>
      <c r="C22" s="8"/>
      <c r="D22" s="8"/>
      <c r="E22" s="8"/>
    </row>
    <row r="23" spans="1:5" x14ac:dyDescent="0.25">
      <c r="A23" s="4" t="s">
        <v>20</v>
      </c>
      <c r="B23" s="11"/>
      <c r="C23" s="8"/>
      <c r="D23" s="8"/>
      <c r="E23" s="8"/>
    </row>
    <row r="24" spans="1:5" x14ac:dyDescent="0.25">
      <c r="A24" s="4" t="s">
        <v>21</v>
      </c>
      <c r="B24" s="11"/>
      <c r="C24" s="8"/>
      <c r="D24" s="8"/>
      <c r="E24" s="8"/>
    </row>
    <row r="25" spans="1:5" x14ac:dyDescent="0.25">
      <c r="A25" s="6"/>
      <c r="B25" s="13"/>
      <c r="C25" s="9"/>
      <c r="D25" s="9"/>
      <c r="E25" s="13"/>
    </row>
    <row r="26" spans="1:5" x14ac:dyDescent="0.25">
      <c r="A26" s="4" t="s">
        <v>22</v>
      </c>
      <c r="B26" s="11"/>
      <c r="C26" s="8"/>
      <c r="D26" s="8"/>
      <c r="E26" s="8"/>
    </row>
    <row r="27" spans="1:5" x14ac:dyDescent="0.25">
      <c r="A27" s="4" t="s">
        <v>23</v>
      </c>
      <c r="B27" s="11"/>
      <c r="C27" s="8"/>
      <c r="D27" s="8"/>
      <c r="E27" s="8"/>
    </row>
    <row r="28" spans="1:5" x14ac:dyDescent="0.25">
      <c r="A28" s="6"/>
      <c r="B28" s="13"/>
      <c r="C28" s="9"/>
      <c r="D28" s="9"/>
      <c r="E28" s="13"/>
    </row>
    <row r="29" spans="1:5" x14ac:dyDescent="0.25">
      <c r="A29" s="4" t="s">
        <v>24</v>
      </c>
      <c r="B29" s="11"/>
      <c r="C29" s="8"/>
      <c r="D29" s="8"/>
      <c r="E29" s="8"/>
    </row>
    <row r="30" spans="1:5" x14ac:dyDescent="0.25">
      <c r="A30" s="4" t="s">
        <v>25</v>
      </c>
      <c r="B30" s="11"/>
      <c r="C30" s="8"/>
      <c r="D30" s="8"/>
      <c r="E30" s="8"/>
    </row>
    <row r="31" spans="1:5" x14ac:dyDescent="0.25">
      <c r="A31" s="7"/>
      <c r="B31" s="10"/>
      <c r="C31" s="10"/>
      <c r="D31" s="10"/>
      <c r="E31" s="10"/>
    </row>
  </sheetData>
  <mergeCells count="4">
    <mergeCell ref="A1:A2"/>
    <mergeCell ref="E1:E2"/>
    <mergeCell ref="B1:B2"/>
    <mergeCell ref="C1:D1"/>
  </mergeCells>
  <dataValidations count="2">
    <dataValidation type="list" allowBlank="1" showInputMessage="1" showErrorMessage="1" sqref="B3:B7 B9:B13 B15:B20 B22:B24 B26:B27 B29:B30">
      <formula1>$K$1:$K$2</formula1>
    </dataValidation>
    <dataValidation type="list" allowBlank="1" showInputMessage="1" showErrorMessage="1" sqref="C3:E7 C9:E13 C15:E20 C22:E24 C26:E27 C29:E30">
      <formula1>$L$1:$L$2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33"/>
  <sheetViews>
    <sheetView workbookViewId="0">
      <selection activeCell="C36" sqref="C36"/>
    </sheetView>
  </sheetViews>
  <sheetFormatPr defaultRowHeight="15" x14ac:dyDescent="0.25"/>
  <cols>
    <col min="2" max="2" width="31.85546875" customWidth="1"/>
    <col min="3" max="25" width="16.7109375" customWidth="1"/>
    <col min="26" max="26" width="12.7109375" customWidth="1"/>
  </cols>
  <sheetData>
    <row r="1" spans="1:26" ht="35.25" customHeight="1" x14ac:dyDescent="0.3">
      <c r="C1" s="123" t="s">
        <v>36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13" t="s">
        <v>37</v>
      </c>
    </row>
    <row r="2" spans="1:26" x14ac:dyDescent="0.25">
      <c r="A2" s="120" t="s">
        <v>35</v>
      </c>
      <c r="B2" s="116" t="s">
        <v>34</v>
      </c>
      <c r="C2" s="117" t="s">
        <v>33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9"/>
      <c r="Y2" s="119"/>
      <c r="Z2" s="114"/>
    </row>
    <row r="3" spans="1:26" x14ac:dyDescent="0.25">
      <c r="A3" s="121"/>
      <c r="B3" s="116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7">
        <v>23</v>
      </c>
      <c r="Z3" s="114"/>
    </row>
    <row r="4" spans="1:26" ht="30" x14ac:dyDescent="0.25">
      <c r="A4" s="121"/>
      <c r="B4" s="16" t="s">
        <v>32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0</v>
      </c>
      <c r="S4" s="15" t="s">
        <v>19</v>
      </c>
      <c r="T4" s="15" t="s">
        <v>20</v>
      </c>
      <c r="U4" s="15" t="s">
        <v>21</v>
      </c>
      <c r="V4" s="15" t="s">
        <v>22</v>
      </c>
      <c r="W4" s="15" t="s">
        <v>23</v>
      </c>
      <c r="X4" s="15" t="s">
        <v>24</v>
      </c>
      <c r="Y4" s="18" t="s">
        <v>25</v>
      </c>
      <c r="Z4" s="115"/>
    </row>
    <row r="5" spans="1:26" x14ac:dyDescent="0.25">
      <c r="A5" s="121"/>
      <c r="B5" s="4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21"/>
      <c r="B6" s="4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21"/>
      <c r="B7" s="4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21"/>
      <c r="B8" s="4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21"/>
      <c r="B9" s="4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2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21"/>
      <c r="B11" s="4" t="s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21"/>
      <c r="B12" s="4" t="s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21"/>
      <c r="B13" s="4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1"/>
      <c r="B14" s="4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1"/>
      <c r="B15" s="4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1"/>
      <c r="B17" s="4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1"/>
      <c r="B18" s="4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1"/>
      <c r="B19" s="4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1"/>
      <c r="B20" s="4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21"/>
      <c r="B21" s="4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21"/>
      <c r="B22" s="4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21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21"/>
      <c r="B24" s="4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21"/>
      <c r="B25" s="4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21"/>
      <c r="B26" s="4" t="s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2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21"/>
      <c r="B28" s="4" t="s">
        <v>22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21"/>
      <c r="B29" s="4" t="s">
        <v>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2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21"/>
      <c r="B31" s="4" t="s">
        <v>24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21"/>
      <c r="B32" s="4" t="s">
        <v>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22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mergeCells count="5">
    <mergeCell ref="Z1:Z4"/>
    <mergeCell ref="B2:B3"/>
    <mergeCell ref="C2:Y2"/>
    <mergeCell ref="A2:A33"/>
    <mergeCell ref="C1:Y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3"/>
  <sheetViews>
    <sheetView topLeftCell="A7" workbookViewId="0">
      <selection activeCell="G39" sqref="G39"/>
    </sheetView>
  </sheetViews>
  <sheetFormatPr defaultRowHeight="15" x14ac:dyDescent="0.25"/>
  <cols>
    <col min="1" max="1" width="31.85546875" customWidth="1"/>
    <col min="2" max="14" width="16.7109375" customWidth="1"/>
    <col min="15" max="15" width="12.7109375" customWidth="1"/>
  </cols>
  <sheetData>
    <row r="1" spans="1:15" ht="35.25" customHeight="1" x14ac:dyDescent="0.3">
      <c r="A1" t="s">
        <v>39</v>
      </c>
      <c r="B1" s="123" t="s">
        <v>38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25" t="s">
        <v>37</v>
      </c>
    </row>
    <row r="2" spans="1:15" ht="15" customHeight="1" x14ac:dyDescent="0.25">
      <c r="A2" s="116" t="s">
        <v>40</v>
      </c>
      <c r="B2" s="128" t="s">
        <v>52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26"/>
    </row>
    <row r="3" spans="1:15" x14ac:dyDescent="0.25">
      <c r="A3" s="116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26"/>
    </row>
    <row r="4" spans="1:15" ht="30" x14ac:dyDescent="0.25">
      <c r="A4" s="16" t="s">
        <v>101</v>
      </c>
      <c r="B4" s="19" t="s">
        <v>48</v>
      </c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0" t="s">
        <v>47</v>
      </c>
      <c r="J4" s="20" t="s">
        <v>49</v>
      </c>
      <c r="K4" s="20" t="s">
        <v>50</v>
      </c>
      <c r="L4" s="20" t="s">
        <v>51</v>
      </c>
      <c r="M4" s="20" t="s">
        <v>53</v>
      </c>
      <c r="N4" s="20" t="s">
        <v>54</v>
      </c>
      <c r="O4" s="127"/>
    </row>
    <row r="5" spans="1:15" x14ac:dyDescent="0.25">
      <c r="A5" s="4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4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4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4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4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4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4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4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4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4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4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4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4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4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4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4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4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4" t="s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4" t="s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4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4" t="s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4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4" t="s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4">
    <mergeCell ref="O1:O4"/>
    <mergeCell ref="A2:A3"/>
    <mergeCell ref="B2:N2"/>
    <mergeCell ref="B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1"/>
  <sheetViews>
    <sheetView workbookViewId="0">
      <selection activeCell="E21" sqref="E21"/>
    </sheetView>
  </sheetViews>
  <sheetFormatPr defaultRowHeight="15" x14ac:dyDescent="0.25"/>
  <cols>
    <col min="1" max="1" width="31.85546875" customWidth="1"/>
    <col min="2" max="2" width="14.85546875" customWidth="1"/>
    <col min="3" max="3" width="18.140625" customWidth="1"/>
  </cols>
  <sheetData>
    <row r="1" spans="1:3" ht="42.75" customHeight="1" x14ac:dyDescent="0.25">
      <c r="B1" s="107" t="s">
        <v>55</v>
      </c>
      <c r="C1" s="107"/>
    </row>
    <row r="2" spans="1:3" ht="27.75" customHeight="1" x14ac:dyDescent="0.25">
      <c r="A2" s="16" t="s">
        <v>32</v>
      </c>
      <c r="B2" s="3" t="s">
        <v>56</v>
      </c>
      <c r="C2" s="3" t="s">
        <v>57</v>
      </c>
    </row>
    <row r="3" spans="1:3" x14ac:dyDescent="0.25">
      <c r="A3" s="4" t="s">
        <v>4</v>
      </c>
      <c r="B3" s="21">
        <v>440</v>
      </c>
      <c r="C3" s="21">
        <v>925</v>
      </c>
    </row>
    <row r="4" spans="1:3" x14ac:dyDescent="0.25">
      <c r="A4" s="4" t="s">
        <v>5</v>
      </c>
      <c r="B4" s="21">
        <v>495</v>
      </c>
      <c r="C4" s="21">
        <v>925</v>
      </c>
    </row>
    <row r="5" spans="1:3" x14ac:dyDescent="0.25">
      <c r="A5" s="4" t="s">
        <v>6</v>
      </c>
      <c r="B5" s="21">
        <v>220</v>
      </c>
      <c r="C5" s="21">
        <v>880</v>
      </c>
    </row>
    <row r="6" spans="1:3" x14ac:dyDescent="0.25">
      <c r="A6" s="4" t="s">
        <v>7</v>
      </c>
      <c r="B6" s="21">
        <v>220</v>
      </c>
      <c r="C6" s="21">
        <v>550</v>
      </c>
    </row>
    <row r="7" spans="1:3" x14ac:dyDescent="0.25">
      <c r="A7" s="4" t="s">
        <v>8</v>
      </c>
      <c r="B7" s="21">
        <v>260</v>
      </c>
      <c r="C7" s="21">
        <v>710</v>
      </c>
    </row>
    <row r="8" spans="1:3" x14ac:dyDescent="0.25">
      <c r="A8" s="5"/>
      <c r="B8" s="5"/>
      <c r="C8" s="5"/>
    </row>
    <row r="9" spans="1:3" x14ac:dyDescent="0.25">
      <c r="A9" s="4" t="s">
        <v>9</v>
      </c>
      <c r="B9" s="21">
        <v>400</v>
      </c>
      <c r="C9" s="21">
        <v>400</v>
      </c>
    </row>
    <row r="10" spans="1:3" x14ac:dyDescent="0.25">
      <c r="A10" s="4" t="s">
        <v>10</v>
      </c>
      <c r="B10" s="21">
        <v>300</v>
      </c>
      <c r="C10" s="21">
        <v>300</v>
      </c>
    </row>
    <row r="11" spans="1:3" x14ac:dyDescent="0.25">
      <c r="A11" s="4" t="s">
        <v>11</v>
      </c>
      <c r="B11" s="21">
        <v>50</v>
      </c>
      <c r="C11" s="21">
        <v>270</v>
      </c>
    </row>
    <row r="12" spans="1:3" x14ac:dyDescent="0.25">
      <c r="A12" s="4" t="s">
        <v>12</v>
      </c>
      <c r="B12" s="21">
        <v>50</v>
      </c>
      <c r="C12" s="21">
        <v>270</v>
      </c>
    </row>
    <row r="13" spans="1:3" x14ac:dyDescent="0.25">
      <c r="A13" s="4" t="s">
        <v>13</v>
      </c>
      <c r="B13" s="21">
        <v>50</v>
      </c>
      <c r="C13" s="21">
        <v>270</v>
      </c>
    </row>
    <row r="14" spans="1:3" x14ac:dyDescent="0.25">
      <c r="A14" s="5"/>
      <c r="B14" s="5"/>
      <c r="C14" s="5"/>
    </row>
    <row r="15" spans="1:3" x14ac:dyDescent="0.25">
      <c r="A15" s="4" t="s">
        <v>14</v>
      </c>
      <c r="B15" s="21">
        <v>100</v>
      </c>
      <c r="C15" s="21">
        <v>400</v>
      </c>
    </row>
    <row r="16" spans="1:3" x14ac:dyDescent="0.25">
      <c r="A16" s="4" t="s">
        <v>15</v>
      </c>
      <c r="B16" s="21">
        <v>140</v>
      </c>
      <c r="C16" s="21">
        <v>420</v>
      </c>
    </row>
    <row r="17" spans="1:3" x14ac:dyDescent="0.25">
      <c r="A17" s="4" t="s">
        <v>16</v>
      </c>
      <c r="B17" s="21">
        <v>25</v>
      </c>
      <c r="C17" s="21">
        <v>50</v>
      </c>
    </row>
    <row r="18" spans="1:3" x14ac:dyDescent="0.25">
      <c r="A18" s="4" t="s">
        <v>17</v>
      </c>
      <c r="B18" s="21">
        <v>0</v>
      </c>
      <c r="C18" s="21">
        <v>0</v>
      </c>
    </row>
    <row r="19" spans="1:3" x14ac:dyDescent="0.25">
      <c r="A19" s="4" t="s">
        <v>18</v>
      </c>
      <c r="B19" s="21">
        <v>40</v>
      </c>
      <c r="C19" s="21">
        <v>60</v>
      </c>
    </row>
    <row r="20" spans="1:3" x14ac:dyDescent="0.25">
      <c r="A20" s="4" t="s">
        <v>0</v>
      </c>
      <c r="B20" s="21">
        <v>60</v>
      </c>
      <c r="C20" s="21">
        <v>120</v>
      </c>
    </row>
    <row r="21" spans="1:3" x14ac:dyDescent="0.25">
      <c r="A21" s="5"/>
      <c r="B21" s="5"/>
      <c r="C21" s="5"/>
    </row>
    <row r="22" spans="1:3" x14ac:dyDescent="0.25">
      <c r="A22" s="4" t="s">
        <v>19</v>
      </c>
      <c r="B22" s="21" t="s">
        <v>41</v>
      </c>
      <c r="C22" s="21">
        <v>750</v>
      </c>
    </row>
    <row r="23" spans="1:3" x14ac:dyDescent="0.25">
      <c r="A23" s="4" t="s">
        <v>20</v>
      </c>
      <c r="B23" s="21" t="s">
        <v>41</v>
      </c>
      <c r="C23" s="21">
        <v>750</v>
      </c>
    </row>
    <row r="24" spans="1:3" x14ac:dyDescent="0.25">
      <c r="A24" s="4" t="s">
        <v>21</v>
      </c>
      <c r="B24" s="21" t="s">
        <v>41</v>
      </c>
      <c r="C24" s="21">
        <v>750</v>
      </c>
    </row>
    <row r="25" spans="1:3" x14ac:dyDescent="0.25">
      <c r="A25" s="6"/>
      <c r="B25" s="6"/>
      <c r="C25" s="6"/>
    </row>
    <row r="26" spans="1:3" x14ac:dyDescent="0.25">
      <c r="A26" s="4" t="s">
        <v>22</v>
      </c>
      <c r="B26" s="21">
        <v>250</v>
      </c>
      <c r="C26" s="21">
        <v>600</v>
      </c>
    </row>
    <row r="27" spans="1:3" x14ac:dyDescent="0.25">
      <c r="A27" s="4" t="s">
        <v>23</v>
      </c>
      <c r="B27" s="21">
        <v>250</v>
      </c>
      <c r="C27" s="21">
        <v>600</v>
      </c>
    </row>
    <row r="28" spans="1:3" x14ac:dyDescent="0.25">
      <c r="A28" s="6"/>
      <c r="B28" s="6"/>
      <c r="C28" s="6"/>
    </row>
    <row r="29" spans="1:3" x14ac:dyDescent="0.25">
      <c r="A29" s="4" t="s">
        <v>24</v>
      </c>
      <c r="B29" s="21">
        <v>380</v>
      </c>
      <c r="C29" s="21">
        <v>490</v>
      </c>
    </row>
    <row r="30" spans="1:3" x14ac:dyDescent="0.25">
      <c r="A30" s="4" t="s">
        <v>25</v>
      </c>
      <c r="B30" s="21">
        <v>200</v>
      </c>
      <c r="C30" s="21">
        <v>525</v>
      </c>
    </row>
    <row r="31" spans="1:3" x14ac:dyDescent="0.25">
      <c r="A31" s="7"/>
      <c r="B31" s="7"/>
      <c r="C31" s="7"/>
    </row>
  </sheetData>
  <sheetProtection sheet="1" objects="1" scenarios="1" selectLockedCells="1"/>
  <mergeCells count="1">
    <mergeCell ref="B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EH47"/>
  <sheetViews>
    <sheetView topLeftCell="A16" workbookViewId="0">
      <selection activeCell="C43" sqref="C43"/>
    </sheetView>
  </sheetViews>
  <sheetFormatPr defaultRowHeight="15" x14ac:dyDescent="0.25"/>
  <cols>
    <col min="1" max="1" width="23.28515625" style="23" customWidth="1"/>
    <col min="2" max="2" width="21.140625" style="25" hidden="1" customWidth="1"/>
    <col min="3" max="3" width="21.140625" style="25" customWidth="1"/>
    <col min="4" max="4" width="19.42578125" customWidth="1"/>
    <col min="5" max="5" width="15.85546875" customWidth="1"/>
    <col min="6" max="814" width="9.140625" style="35"/>
  </cols>
  <sheetData>
    <row r="1" spans="1:814" ht="15.75" x14ac:dyDescent="0.25">
      <c r="A1" s="36" t="s">
        <v>58</v>
      </c>
      <c r="B1" s="37" t="s">
        <v>59</v>
      </c>
      <c r="C1" s="37" t="s">
        <v>59</v>
      </c>
      <c r="D1" s="38" t="s">
        <v>60</v>
      </c>
      <c r="E1" s="38" t="s">
        <v>61</v>
      </c>
    </row>
    <row r="2" spans="1:814" x14ac:dyDescent="0.25">
      <c r="A2" s="29" t="s">
        <v>62</v>
      </c>
      <c r="B2" s="30">
        <v>4.5</v>
      </c>
      <c r="C2" s="30">
        <f>B2*$F$2</f>
        <v>7.3583999999999996</v>
      </c>
      <c r="D2" s="1">
        <v>45000</v>
      </c>
      <c r="E2" s="31">
        <f>C2*D2</f>
        <v>331128</v>
      </c>
      <c r="F2" s="51">
        <v>1.6352</v>
      </c>
    </row>
    <row r="3" spans="1:814" s="24" customFormat="1" x14ac:dyDescent="0.25">
      <c r="A3" s="27"/>
      <c r="B3" s="28"/>
      <c r="C3" s="28"/>
      <c r="D3" s="2"/>
      <c r="E3" s="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</row>
    <row r="4" spans="1:814" x14ac:dyDescent="0.25">
      <c r="A4" s="29" t="s">
        <v>63</v>
      </c>
      <c r="B4" s="39">
        <v>12</v>
      </c>
      <c r="C4" s="39">
        <f>B4*$F$2</f>
        <v>19.622399999999999</v>
      </c>
      <c r="D4" s="1">
        <v>3000</v>
      </c>
      <c r="E4" s="31">
        <f>C4*D4</f>
        <v>58867.199999999997</v>
      </c>
    </row>
    <row r="5" spans="1:814" s="24" customFormat="1" x14ac:dyDescent="0.25">
      <c r="A5" s="27"/>
      <c r="B5" s="28"/>
      <c r="C5" s="28"/>
      <c r="D5" s="2"/>
      <c r="E5" s="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</row>
    <row r="6" spans="1:814" x14ac:dyDescent="0.25">
      <c r="A6" s="29" t="s">
        <v>64</v>
      </c>
      <c r="B6" s="32"/>
      <c r="C6" s="32"/>
      <c r="D6" s="1"/>
      <c r="E6" s="32">
        <f>25000*F2</f>
        <v>40880</v>
      </c>
    </row>
    <row r="7" spans="1:814" s="24" customFormat="1" x14ac:dyDescent="0.25">
      <c r="A7" s="27"/>
      <c r="B7" s="28"/>
      <c r="C7" s="28"/>
      <c r="D7" s="2"/>
      <c r="E7" s="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</row>
    <row r="8" spans="1:814" x14ac:dyDescent="0.25">
      <c r="A8" s="33" t="s">
        <v>65</v>
      </c>
      <c r="B8" s="32"/>
      <c r="C8" s="32"/>
      <c r="D8" s="1"/>
      <c r="E8" s="1"/>
    </row>
    <row r="9" spans="1:814" x14ac:dyDescent="0.25">
      <c r="A9" s="29" t="s">
        <v>66</v>
      </c>
      <c r="B9" s="39">
        <v>2.5</v>
      </c>
      <c r="C9" s="39">
        <f>B9*$F$2</f>
        <v>4.0880000000000001</v>
      </c>
      <c r="D9" s="1">
        <v>1500</v>
      </c>
      <c r="E9" s="31">
        <f>C9*D9</f>
        <v>6132</v>
      </c>
    </row>
    <row r="10" spans="1:814" x14ac:dyDescent="0.25">
      <c r="A10" s="29" t="s">
        <v>67</v>
      </c>
      <c r="B10" s="40">
        <v>8.6999999999999993</v>
      </c>
      <c r="C10" s="40">
        <f>B10*$F$2</f>
        <v>14.226239999999999</v>
      </c>
      <c r="D10" s="1">
        <v>50</v>
      </c>
      <c r="E10" s="31">
        <f>C10*D10</f>
        <v>711.3119999999999</v>
      </c>
    </row>
    <row r="11" spans="1:814" x14ac:dyDescent="0.25">
      <c r="A11" s="29" t="s">
        <v>69</v>
      </c>
      <c r="B11" s="48">
        <v>0.28499999999999998</v>
      </c>
      <c r="C11" s="48">
        <f>B11*$F$2</f>
        <v>0.46603199999999995</v>
      </c>
      <c r="D11" s="1">
        <v>43000</v>
      </c>
      <c r="E11" s="31">
        <f>C11*D11</f>
        <v>20039.375999999997</v>
      </c>
    </row>
    <row r="12" spans="1:814" x14ac:dyDescent="0.25">
      <c r="A12" s="29" t="s">
        <v>68</v>
      </c>
      <c r="B12" s="49">
        <v>1200</v>
      </c>
      <c r="C12" s="49">
        <f>B12*$F$2</f>
        <v>1962.24</v>
      </c>
      <c r="D12" s="1">
        <v>2</v>
      </c>
      <c r="E12" s="31">
        <f>C12*D12</f>
        <v>3924.48</v>
      </c>
    </row>
    <row r="13" spans="1:814" s="24" customFormat="1" x14ac:dyDescent="0.25">
      <c r="A13" s="27"/>
      <c r="B13" s="28"/>
      <c r="C13" s="28"/>
      <c r="D13" s="2"/>
      <c r="E13" s="2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</row>
    <row r="14" spans="1:814" x14ac:dyDescent="0.25">
      <c r="A14" s="33" t="s">
        <v>70</v>
      </c>
      <c r="B14" s="32"/>
      <c r="C14" s="32"/>
      <c r="D14" s="1"/>
      <c r="E14" s="1"/>
    </row>
    <row r="15" spans="1:814" x14ac:dyDescent="0.25">
      <c r="A15" s="29" t="s">
        <v>71</v>
      </c>
      <c r="B15" s="41">
        <v>50</v>
      </c>
      <c r="C15" s="41">
        <f>B15*$F$2</f>
        <v>81.760000000000005</v>
      </c>
      <c r="D15" s="1">
        <v>1593</v>
      </c>
      <c r="E15" s="31">
        <f>C15*D15</f>
        <v>130243.68000000001</v>
      </c>
    </row>
    <row r="16" spans="1:814" x14ac:dyDescent="0.25">
      <c r="A16" s="29" t="s">
        <v>72</v>
      </c>
      <c r="B16" s="41">
        <v>190</v>
      </c>
      <c r="C16" s="41">
        <f>B16*$F$2</f>
        <v>310.68799999999999</v>
      </c>
      <c r="D16" s="1">
        <v>50</v>
      </c>
      <c r="E16" s="31">
        <f t="shared" ref="E16:E21" si="0">C16*D16</f>
        <v>15534.4</v>
      </c>
    </row>
    <row r="17" spans="1:814" x14ac:dyDescent="0.25">
      <c r="A17" s="29" t="s">
        <v>73</v>
      </c>
      <c r="B17" s="30">
        <v>0.8</v>
      </c>
      <c r="C17" s="30">
        <f>B17*$F$2</f>
        <v>1.30816</v>
      </c>
      <c r="D17" s="1">
        <v>43000</v>
      </c>
      <c r="E17" s="31">
        <f t="shared" si="0"/>
        <v>56250.879999999997</v>
      </c>
    </row>
    <row r="18" spans="1:814" x14ac:dyDescent="0.25">
      <c r="A18" s="29" t="s">
        <v>74</v>
      </c>
      <c r="B18" s="41">
        <v>100</v>
      </c>
      <c r="C18" s="41">
        <f>B18*$F$2</f>
        <v>163.52000000000001</v>
      </c>
      <c r="D18" s="1">
        <v>75</v>
      </c>
      <c r="E18" s="31">
        <f t="shared" si="0"/>
        <v>12264</v>
      </c>
    </row>
    <row r="19" spans="1:814" x14ac:dyDescent="0.25">
      <c r="A19" s="29" t="s">
        <v>75</v>
      </c>
      <c r="B19" s="50">
        <v>0.15</v>
      </c>
      <c r="C19" s="50">
        <f>B19*$F$2</f>
        <v>0.24528</v>
      </c>
      <c r="D19" s="1">
        <v>1718</v>
      </c>
      <c r="E19" s="31">
        <f t="shared" si="0"/>
        <v>421.39103999999998</v>
      </c>
    </row>
    <row r="20" spans="1:814" s="24" customFormat="1" x14ac:dyDescent="0.25">
      <c r="A20" s="27"/>
      <c r="B20" s="28"/>
      <c r="C20" s="28"/>
      <c r="D20" s="2"/>
      <c r="E20" s="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</row>
    <row r="21" spans="1:814" ht="30" x14ac:dyDescent="0.25">
      <c r="A21" s="34" t="s">
        <v>76</v>
      </c>
      <c r="B21" s="30">
        <v>11</v>
      </c>
      <c r="C21" s="30">
        <f>B21*$F$2</f>
        <v>17.987200000000001</v>
      </c>
      <c r="D21" s="1">
        <v>43000</v>
      </c>
      <c r="E21" s="31">
        <f t="shared" si="0"/>
        <v>773449.60000000009</v>
      </c>
    </row>
    <row r="22" spans="1:814" s="24" customFormat="1" x14ac:dyDescent="0.25">
      <c r="A22" s="27"/>
      <c r="B22" s="28"/>
      <c r="C22" s="28"/>
      <c r="D22" s="2"/>
      <c r="E22" s="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</row>
    <row r="23" spans="1:814" x14ac:dyDescent="0.25">
      <c r="A23" s="33" t="s">
        <v>77</v>
      </c>
      <c r="B23" s="32"/>
      <c r="C23" s="32"/>
      <c r="D23" s="1"/>
      <c r="E23" s="31"/>
    </row>
    <row r="24" spans="1:814" x14ac:dyDescent="0.25">
      <c r="A24" s="29" t="s">
        <v>78</v>
      </c>
      <c r="B24" s="42">
        <v>200</v>
      </c>
      <c r="C24" s="42">
        <f>B24*$F$2</f>
        <v>327.04000000000002</v>
      </c>
      <c r="D24" s="1">
        <v>40</v>
      </c>
      <c r="E24" s="31">
        <f t="shared" ref="E24:E39" si="1">C24*D24</f>
        <v>13081.6</v>
      </c>
    </row>
    <row r="25" spans="1:814" x14ac:dyDescent="0.25">
      <c r="A25" s="29" t="s">
        <v>79</v>
      </c>
      <c r="B25" s="43">
        <v>25</v>
      </c>
      <c r="C25" s="43">
        <f>B25*$F$2</f>
        <v>40.880000000000003</v>
      </c>
      <c r="D25" s="1">
        <v>300</v>
      </c>
      <c r="E25" s="31">
        <f t="shared" si="1"/>
        <v>12264</v>
      </c>
    </row>
    <row r="26" spans="1:814" x14ac:dyDescent="0.25">
      <c r="A26" s="29" t="s">
        <v>80</v>
      </c>
      <c r="B26" s="44">
        <v>5</v>
      </c>
      <c r="C26" s="44">
        <f>B26*$F$2</f>
        <v>8.1760000000000002</v>
      </c>
      <c r="D26" s="1">
        <v>800</v>
      </c>
      <c r="E26" s="31">
        <f t="shared" si="1"/>
        <v>6540.8</v>
      </c>
    </row>
    <row r="27" spans="1:814" x14ac:dyDescent="0.25">
      <c r="A27" s="29" t="s">
        <v>81</v>
      </c>
      <c r="B27" s="45">
        <v>5000</v>
      </c>
      <c r="C27" s="45">
        <f>B27*$F$2</f>
        <v>8176</v>
      </c>
      <c r="D27" s="1">
        <v>6</v>
      </c>
      <c r="E27" s="31">
        <f t="shared" si="1"/>
        <v>49056</v>
      </c>
    </row>
    <row r="28" spans="1:814" s="24" customFormat="1" x14ac:dyDescent="0.25">
      <c r="A28" s="27"/>
      <c r="B28" s="28"/>
      <c r="C28" s="28"/>
      <c r="D28" s="2"/>
      <c r="E28" s="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</row>
    <row r="29" spans="1:814" x14ac:dyDescent="0.25">
      <c r="A29" s="29" t="s">
        <v>82</v>
      </c>
      <c r="B29" s="46">
        <v>5</v>
      </c>
      <c r="C29" s="46">
        <f>B29*$F$2</f>
        <v>8.1760000000000002</v>
      </c>
      <c r="D29" s="1">
        <v>43000</v>
      </c>
      <c r="E29" s="31">
        <f t="shared" si="1"/>
        <v>351568</v>
      </c>
    </row>
    <row r="30" spans="1:814" s="24" customFormat="1" x14ac:dyDescent="0.25">
      <c r="A30" s="27"/>
      <c r="B30" s="28"/>
      <c r="C30" s="28"/>
      <c r="D30" s="2"/>
      <c r="E30" s="2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</row>
    <row r="31" spans="1:814" x14ac:dyDescent="0.25">
      <c r="A31" s="29" t="s">
        <v>83</v>
      </c>
      <c r="B31" s="46">
        <v>25</v>
      </c>
      <c r="C31" s="46">
        <f>B31*$F$2</f>
        <v>40.880000000000003</v>
      </c>
      <c r="D31" s="1">
        <v>4000</v>
      </c>
      <c r="E31" s="31">
        <f t="shared" si="1"/>
        <v>163520</v>
      </c>
    </row>
    <row r="32" spans="1:814" s="24" customFormat="1" x14ac:dyDescent="0.25">
      <c r="A32" s="27"/>
      <c r="B32" s="28"/>
      <c r="C32" s="28"/>
      <c r="D32" s="2"/>
      <c r="E32" s="2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</row>
    <row r="33" spans="1:814" x14ac:dyDescent="0.25">
      <c r="A33" s="29" t="s">
        <v>84</v>
      </c>
      <c r="B33" s="47">
        <v>10</v>
      </c>
      <c r="C33" s="47">
        <f>B33*$F$2</f>
        <v>16.352</v>
      </c>
      <c r="D33" s="1">
        <v>13333</v>
      </c>
      <c r="E33" s="31">
        <f t="shared" si="1"/>
        <v>218021.21600000001</v>
      </c>
    </row>
    <row r="34" spans="1:814" s="24" customFormat="1" x14ac:dyDescent="0.25">
      <c r="A34" s="27"/>
      <c r="B34" s="28"/>
      <c r="C34" s="28"/>
      <c r="D34" s="2"/>
      <c r="E34" s="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</row>
    <row r="35" spans="1:814" x14ac:dyDescent="0.25">
      <c r="A35" s="29" t="s">
        <v>85</v>
      </c>
      <c r="B35" s="47">
        <v>2</v>
      </c>
      <c r="C35" s="47">
        <f>B35*$F$2</f>
        <v>3.2704</v>
      </c>
      <c r="D35" s="1">
        <v>167</v>
      </c>
      <c r="E35" s="31">
        <f t="shared" si="1"/>
        <v>546.15679999999998</v>
      </c>
    </row>
    <row r="36" spans="1:814" s="24" customFormat="1" x14ac:dyDescent="0.25">
      <c r="A36" s="27"/>
      <c r="B36" s="28"/>
      <c r="C36" s="28"/>
      <c r="D36" s="2"/>
      <c r="E36" s="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</row>
    <row r="37" spans="1:814" x14ac:dyDescent="0.25">
      <c r="A37" s="29" t="s">
        <v>86</v>
      </c>
      <c r="B37" s="32">
        <v>20000</v>
      </c>
      <c r="C37" s="32">
        <f>B37*$F$2</f>
        <v>32704</v>
      </c>
      <c r="D37" s="1">
        <v>1</v>
      </c>
      <c r="E37" s="31">
        <f t="shared" si="1"/>
        <v>32704</v>
      </c>
    </row>
    <row r="38" spans="1:814" s="24" customFormat="1" x14ac:dyDescent="0.25">
      <c r="A38" s="27"/>
      <c r="B38" s="28"/>
      <c r="C38" s="28"/>
      <c r="D38" s="2"/>
      <c r="E38" s="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</row>
    <row r="39" spans="1:814" x14ac:dyDescent="0.25">
      <c r="A39" s="29" t="s">
        <v>87</v>
      </c>
      <c r="B39" s="30">
        <v>0.5</v>
      </c>
      <c r="C39" s="30">
        <f>B39*$F$2</f>
        <v>0.81759999999999999</v>
      </c>
      <c r="D39" s="1">
        <v>64000</v>
      </c>
      <c r="E39" s="31">
        <f t="shared" si="1"/>
        <v>52326.400000000001</v>
      </c>
    </row>
    <row r="40" spans="1:814" s="24" customFormat="1" x14ac:dyDescent="0.25">
      <c r="A40" s="27"/>
      <c r="B40" s="28"/>
      <c r="C40" s="28"/>
      <c r="D40" s="2"/>
      <c r="E40" s="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</row>
    <row r="41" spans="1:814" x14ac:dyDescent="0.25">
      <c r="A41" s="29" t="s">
        <v>88</v>
      </c>
      <c r="B41" s="32"/>
      <c r="C41" s="32"/>
      <c r="D41" s="1"/>
      <c r="E41" s="32">
        <f>8000*F2</f>
        <v>13081.6</v>
      </c>
    </row>
    <row r="42" spans="1:814" s="24" customFormat="1" x14ac:dyDescent="0.25">
      <c r="A42" s="27"/>
      <c r="B42" s="28"/>
      <c r="C42" s="28"/>
      <c r="D42" s="2"/>
      <c r="E42" s="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</row>
    <row r="43" spans="1:814" x14ac:dyDescent="0.25">
      <c r="A43" s="29" t="s">
        <v>89</v>
      </c>
      <c r="B43" s="45">
        <v>2500</v>
      </c>
      <c r="C43" s="45">
        <f>B43*$F$2</f>
        <v>4088</v>
      </c>
      <c r="D43" s="1">
        <v>2</v>
      </c>
      <c r="E43" s="31">
        <f t="shared" ref="E43" si="2">C43*D43</f>
        <v>8176</v>
      </c>
    </row>
    <row r="44" spans="1:814" s="24" customFormat="1" x14ac:dyDescent="0.25">
      <c r="A44" s="27"/>
      <c r="B44" s="28"/>
      <c r="C44" s="28"/>
      <c r="D44" s="2"/>
      <c r="E44" s="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</row>
    <row r="45" spans="1:814" x14ac:dyDescent="0.25">
      <c r="D45" s="22" t="s">
        <v>90</v>
      </c>
      <c r="E45" s="26">
        <f>SUM(E2:E44)</f>
        <v>2370732.0918399999</v>
      </c>
    </row>
    <row r="46" spans="1:814" x14ac:dyDescent="0.25">
      <c r="D46" s="22" t="s">
        <v>91</v>
      </c>
      <c r="E46" s="26">
        <f>(E45/D2)*10.7639</f>
        <v>567.0738480745905</v>
      </c>
    </row>
    <row r="47" spans="1:814" x14ac:dyDescent="0.25">
      <c r="D47" s="22" t="s">
        <v>119</v>
      </c>
      <c r="E47" s="26">
        <f>E45/(200*'MRF Labor Requirements'!B20)</f>
        <v>53.880274814545452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H47"/>
  <sheetViews>
    <sheetView workbookViewId="0">
      <selection activeCell="AE38" sqref="AE38"/>
    </sheetView>
  </sheetViews>
  <sheetFormatPr defaultRowHeight="15" x14ac:dyDescent="0.25"/>
  <cols>
    <col min="1" max="1" width="23.28515625" style="23" customWidth="1"/>
    <col min="2" max="2" width="21.140625" style="25" hidden="1" customWidth="1"/>
    <col min="3" max="3" width="21.140625" style="25" customWidth="1"/>
    <col min="4" max="4" width="19.42578125" customWidth="1"/>
    <col min="5" max="5" width="15.85546875" customWidth="1"/>
    <col min="6" max="814" width="9.140625" style="35"/>
  </cols>
  <sheetData>
    <row r="1" spans="1:814" ht="15.75" x14ac:dyDescent="0.25">
      <c r="A1" s="36" t="s">
        <v>58</v>
      </c>
      <c r="B1" s="37" t="s">
        <v>59</v>
      </c>
      <c r="C1" s="37" t="s">
        <v>59</v>
      </c>
      <c r="D1" s="38" t="s">
        <v>60</v>
      </c>
      <c r="E1" s="38" t="s">
        <v>61</v>
      </c>
    </row>
    <row r="2" spans="1:814" x14ac:dyDescent="0.25">
      <c r="A2" s="29" t="s">
        <v>62</v>
      </c>
      <c r="B2" s="30">
        <v>4.5</v>
      </c>
      <c r="C2" s="30">
        <f>B2*$F$2</f>
        <v>7.3583999999999996</v>
      </c>
      <c r="D2" s="1">
        <v>72000</v>
      </c>
      <c r="E2" s="31">
        <f>C2*D2</f>
        <v>529804.79999999993</v>
      </c>
      <c r="F2" s="51">
        <v>1.6352</v>
      </c>
    </row>
    <row r="3" spans="1:814" s="24" customFormat="1" x14ac:dyDescent="0.25">
      <c r="A3" s="27"/>
      <c r="B3" s="28"/>
      <c r="C3" s="28"/>
      <c r="D3" s="2"/>
      <c r="E3" s="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</row>
    <row r="4" spans="1:814" x14ac:dyDescent="0.25">
      <c r="A4" s="29" t="s">
        <v>63</v>
      </c>
      <c r="B4" s="39">
        <v>12</v>
      </c>
      <c r="C4" s="30">
        <f>B4*$F$2</f>
        <v>19.622399999999999</v>
      </c>
      <c r="D4" s="1">
        <v>5000</v>
      </c>
      <c r="E4" s="31">
        <f>C4*D4</f>
        <v>98112</v>
      </c>
    </row>
    <row r="5" spans="1:814" s="24" customFormat="1" x14ac:dyDescent="0.25">
      <c r="A5" s="27"/>
      <c r="B5" s="28"/>
      <c r="C5" s="28"/>
      <c r="D5" s="2"/>
      <c r="E5" s="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</row>
    <row r="6" spans="1:814" x14ac:dyDescent="0.25">
      <c r="A6" s="29" t="s">
        <v>64</v>
      </c>
      <c r="B6" s="32"/>
      <c r="C6" s="32"/>
      <c r="D6" s="1"/>
      <c r="E6" s="32">
        <f>25000*F2</f>
        <v>40880</v>
      </c>
    </row>
    <row r="7" spans="1:814" s="24" customFormat="1" x14ac:dyDescent="0.25">
      <c r="A7" s="27"/>
      <c r="B7" s="28"/>
      <c r="C7" s="28"/>
      <c r="D7" s="2"/>
      <c r="E7" s="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</row>
    <row r="8" spans="1:814" x14ac:dyDescent="0.25">
      <c r="A8" s="33" t="s">
        <v>65</v>
      </c>
      <c r="B8" s="32"/>
      <c r="C8" s="32"/>
      <c r="D8" s="1"/>
      <c r="E8" s="1"/>
    </row>
    <row r="9" spans="1:814" x14ac:dyDescent="0.25">
      <c r="A9" s="29" t="s">
        <v>66</v>
      </c>
      <c r="B9" s="39">
        <v>2.5</v>
      </c>
      <c r="C9" s="30">
        <f>B9*$F$2</f>
        <v>4.0880000000000001</v>
      </c>
      <c r="D9" s="1">
        <v>200</v>
      </c>
      <c r="E9" s="31">
        <f>C9*D9</f>
        <v>817.6</v>
      </c>
    </row>
    <row r="10" spans="1:814" x14ac:dyDescent="0.25">
      <c r="A10" s="29" t="s">
        <v>67</v>
      </c>
      <c r="B10" s="40">
        <v>8.6999999999999993</v>
      </c>
      <c r="C10" s="30">
        <f>B10*$F$2</f>
        <v>14.226239999999999</v>
      </c>
      <c r="D10" s="1">
        <v>70</v>
      </c>
      <c r="E10" s="31">
        <f>C10*D10</f>
        <v>995.83679999999993</v>
      </c>
    </row>
    <row r="11" spans="1:814" x14ac:dyDescent="0.25">
      <c r="A11" s="29" t="s">
        <v>69</v>
      </c>
      <c r="B11" s="48">
        <v>0.28499999999999998</v>
      </c>
      <c r="C11" s="30">
        <f>B11*$F$2</f>
        <v>0.46603199999999995</v>
      </c>
      <c r="D11" s="1">
        <v>72000</v>
      </c>
      <c r="E11" s="31">
        <f>C11*D11</f>
        <v>33554.303999999996</v>
      </c>
    </row>
    <row r="12" spans="1:814" x14ac:dyDescent="0.25">
      <c r="A12" s="29" t="s">
        <v>68</v>
      </c>
      <c r="B12" s="49">
        <v>1200</v>
      </c>
      <c r="C12" s="30">
        <f>B12*$F$2</f>
        <v>1962.24</v>
      </c>
      <c r="D12" s="1">
        <v>3</v>
      </c>
      <c r="E12" s="31">
        <f>C12*D12</f>
        <v>5886.72</v>
      </c>
    </row>
    <row r="13" spans="1:814" s="24" customFormat="1" x14ac:dyDescent="0.25">
      <c r="A13" s="27"/>
      <c r="B13" s="28"/>
      <c r="C13" s="28"/>
      <c r="D13" s="2"/>
      <c r="E13" s="2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</row>
    <row r="14" spans="1:814" x14ac:dyDescent="0.25">
      <c r="A14" s="33" t="s">
        <v>70</v>
      </c>
      <c r="B14" s="32"/>
      <c r="C14" s="32"/>
      <c r="D14" s="1"/>
      <c r="E14" s="1"/>
    </row>
    <row r="15" spans="1:814" x14ac:dyDescent="0.25">
      <c r="A15" s="29" t="s">
        <v>71</v>
      </c>
      <c r="B15" s="41">
        <v>50</v>
      </c>
      <c r="C15" s="30">
        <f>B15*$F$2</f>
        <v>81.760000000000005</v>
      </c>
      <c r="D15" s="1">
        <v>2667</v>
      </c>
      <c r="E15" s="31">
        <f>C15*D15</f>
        <v>218053.92</v>
      </c>
    </row>
    <row r="16" spans="1:814" x14ac:dyDescent="0.25">
      <c r="A16" s="29" t="s">
        <v>72</v>
      </c>
      <c r="B16" s="41">
        <v>190</v>
      </c>
      <c r="C16" s="30">
        <f>B16*$F$2</f>
        <v>310.68799999999999</v>
      </c>
      <c r="D16" s="1">
        <v>70</v>
      </c>
      <c r="E16" s="31">
        <f t="shared" ref="E16:E21" si="0">C16*D16</f>
        <v>21748.16</v>
      </c>
    </row>
    <row r="17" spans="1:814" x14ac:dyDescent="0.25">
      <c r="A17" s="29" t="s">
        <v>73</v>
      </c>
      <c r="B17" s="30">
        <v>0.8</v>
      </c>
      <c r="C17" s="30">
        <f>B17*$F$2</f>
        <v>1.30816</v>
      </c>
      <c r="D17" s="1">
        <v>72000</v>
      </c>
      <c r="E17" s="31">
        <f t="shared" si="0"/>
        <v>94187.520000000004</v>
      </c>
    </row>
    <row r="18" spans="1:814" x14ac:dyDescent="0.25">
      <c r="A18" s="29" t="s">
        <v>74</v>
      </c>
      <c r="B18" s="41">
        <v>100</v>
      </c>
      <c r="C18" s="30">
        <f>B18*$F$2</f>
        <v>163.52000000000001</v>
      </c>
      <c r="D18" s="1">
        <v>120</v>
      </c>
      <c r="E18" s="31">
        <f t="shared" si="0"/>
        <v>19622.400000000001</v>
      </c>
    </row>
    <row r="19" spans="1:814" x14ac:dyDescent="0.25">
      <c r="A19" s="29" t="s">
        <v>75</v>
      </c>
      <c r="B19" s="50">
        <v>0.15</v>
      </c>
      <c r="C19" s="30">
        <f>B19*$F$2</f>
        <v>0.24528</v>
      </c>
      <c r="D19" s="1">
        <v>2857</v>
      </c>
      <c r="E19" s="31">
        <f t="shared" si="0"/>
        <v>700.76495999999997</v>
      </c>
    </row>
    <row r="20" spans="1:814" s="24" customFormat="1" x14ac:dyDescent="0.25">
      <c r="A20" s="27"/>
      <c r="B20" s="28"/>
      <c r="C20" s="28"/>
      <c r="D20" s="2"/>
      <c r="E20" s="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</row>
    <row r="21" spans="1:814" ht="30" x14ac:dyDescent="0.25">
      <c r="A21" s="34" t="s">
        <v>76</v>
      </c>
      <c r="B21" s="30">
        <v>11</v>
      </c>
      <c r="C21" s="30">
        <f>B21*$F$2</f>
        <v>17.987200000000001</v>
      </c>
      <c r="D21" s="1">
        <v>75000</v>
      </c>
      <c r="E21" s="31">
        <f t="shared" si="0"/>
        <v>1349040</v>
      </c>
    </row>
    <row r="22" spans="1:814" s="24" customFormat="1" x14ac:dyDescent="0.25">
      <c r="A22" s="27"/>
      <c r="B22" s="28"/>
      <c r="C22" s="28"/>
      <c r="D22" s="2"/>
      <c r="E22" s="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</row>
    <row r="23" spans="1:814" x14ac:dyDescent="0.25">
      <c r="A23" s="33" t="s">
        <v>77</v>
      </c>
      <c r="B23" s="32"/>
      <c r="C23" s="32"/>
      <c r="D23" s="1"/>
      <c r="E23" s="31"/>
    </row>
    <row r="24" spans="1:814" x14ac:dyDescent="0.25">
      <c r="A24" s="29" t="s">
        <v>78</v>
      </c>
      <c r="B24" s="42">
        <v>200</v>
      </c>
      <c r="C24" s="30">
        <f>B24*$F$2</f>
        <v>327.04000000000002</v>
      </c>
      <c r="D24" s="1">
        <v>25</v>
      </c>
      <c r="E24" s="31">
        <f t="shared" ref="E24:E39" si="1">C24*D24</f>
        <v>8176.0000000000009</v>
      </c>
    </row>
    <row r="25" spans="1:814" x14ac:dyDescent="0.25">
      <c r="A25" s="29" t="s">
        <v>79</v>
      </c>
      <c r="B25" s="43">
        <v>25</v>
      </c>
      <c r="C25" s="30">
        <f>B25*$F$2</f>
        <v>40.880000000000003</v>
      </c>
      <c r="D25" s="1">
        <v>650</v>
      </c>
      <c r="E25" s="31">
        <f t="shared" si="1"/>
        <v>26572</v>
      </c>
    </row>
    <row r="26" spans="1:814" x14ac:dyDescent="0.25">
      <c r="A26" s="29" t="s">
        <v>80</v>
      </c>
      <c r="B26" s="44">
        <v>5</v>
      </c>
      <c r="C26" s="30">
        <f>B26*$F$2</f>
        <v>8.1760000000000002</v>
      </c>
      <c r="D26" s="1">
        <v>450</v>
      </c>
      <c r="E26" s="31">
        <f t="shared" si="1"/>
        <v>3679.2000000000003</v>
      </c>
    </row>
    <row r="27" spans="1:814" x14ac:dyDescent="0.25">
      <c r="A27" s="29" t="s">
        <v>81</v>
      </c>
      <c r="B27" s="45">
        <v>5000</v>
      </c>
      <c r="C27" s="30">
        <f>B27*$F$2</f>
        <v>8176</v>
      </c>
      <c r="D27" s="1">
        <v>10</v>
      </c>
      <c r="E27" s="31">
        <f t="shared" si="1"/>
        <v>81760</v>
      </c>
    </row>
    <row r="28" spans="1:814" s="24" customFormat="1" x14ac:dyDescent="0.25">
      <c r="A28" s="27"/>
      <c r="B28" s="28"/>
      <c r="C28" s="28"/>
      <c r="D28" s="2"/>
      <c r="E28" s="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</row>
    <row r="29" spans="1:814" x14ac:dyDescent="0.25">
      <c r="A29" s="29" t="s">
        <v>82</v>
      </c>
      <c r="B29" s="46">
        <v>5</v>
      </c>
      <c r="C29" s="30">
        <f>B29*$F$2</f>
        <v>8.1760000000000002</v>
      </c>
      <c r="D29" s="1">
        <v>72000</v>
      </c>
      <c r="E29" s="31">
        <f t="shared" si="1"/>
        <v>588672</v>
      </c>
    </row>
    <row r="30" spans="1:814" s="24" customFormat="1" x14ac:dyDescent="0.25">
      <c r="A30" s="27"/>
      <c r="B30" s="28"/>
      <c r="C30" s="28"/>
      <c r="D30" s="2"/>
      <c r="E30" s="2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</row>
    <row r="31" spans="1:814" x14ac:dyDescent="0.25">
      <c r="A31" s="29" t="s">
        <v>83</v>
      </c>
      <c r="B31" s="46">
        <v>25</v>
      </c>
      <c r="C31" s="30">
        <f>B31*$F$2</f>
        <v>40.880000000000003</v>
      </c>
      <c r="D31" s="1">
        <v>10000</v>
      </c>
      <c r="E31" s="31">
        <f t="shared" si="1"/>
        <v>408800</v>
      </c>
    </row>
    <row r="32" spans="1:814" s="24" customFormat="1" x14ac:dyDescent="0.25">
      <c r="A32" s="27"/>
      <c r="B32" s="28"/>
      <c r="C32" s="28"/>
      <c r="D32" s="2"/>
      <c r="E32" s="2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</row>
    <row r="33" spans="1:814" x14ac:dyDescent="0.25">
      <c r="A33" s="29" t="s">
        <v>84</v>
      </c>
      <c r="B33" s="47">
        <v>10</v>
      </c>
      <c r="C33" s="30">
        <f>B33*$F$2</f>
        <v>16.352</v>
      </c>
      <c r="D33" s="1">
        <v>38889</v>
      </c>
      <c r="E33" s="31">
        <f t="shared" si="1"/>
        <v>635912.92799999996</v>
      </c>
    </row>
    <row r="34" spans="1:814" s="24" customFormat="1" x14ac:dyDescent="0.25">
      <c r="A34" s="27"/>
      <c r="B34" s="28"/>
      <c r="C34" s="28"/>
      <c r="D34" s="2"/>
      <c r="E34" s="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</row>
    <row r="35" spans="1:814" x14ac:dyDescent="0.25">
      <c r="A35" s="29" t="s">
        <v>85</v>
      </c>
      <c r="B35" s="47">
        <v>2</v>
      </c>
      <c r="C35" s="30">
        <f>B35*$F$2</f>
        <v>3.2704</v>
      </c>
      <c r="D35" s="1">
        <v>1000</v>
      </c>
      <c r="E35" s="31">
        <f t="shared" si="1"/>
        <v>3270.4</v>
      </c>
    </row>
    <row r="36" spans="1:814" s="24" customFormat="1" x14ac:dyDescent="0.25">
      <c r="A36" s="27"/>
      <c r="B36" s="28"/>
      <c r="C36" s="28"/>
      <c r="D36" s="2"/>
      <c r="E36" s="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</row>
    <row r="37" spans="1:814" x14ac:dyDescent="0.25">
      <c r="A37" s="29" t="s">
        <v>86</v>
      </c>
      <c r="B37" s="32">
        <v>15000</v>
      </c>
      <c r="C37" s="30">
        <f>B37*$F$2</f>
        <v>24528</v>
      </c>
      <c r="D37" s="1">
        <v>1</v>
      </c>
      <c r="E37" s="31">
        <f t="shared" si="1"/>
        <v>24528</v>
      </c>
    </row>
    <row r="38" spans="1:814" s="24" customFormat="1" x14ac:dyDescent="0.25">
      <c r="A38" s="27"/>
      <c r="B38" s="28"/>
      <c r="C38" s="28"/>
      <c r="D38" s="2"/>
      <c r="E38" s="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</row>
    <row r="39" spans="1:814" x14ac:dyDescent="0.25">
      <c r="A39" s="29" t="s">
        <v>87</v>
      </c>
      <c r="B39" s="30">
        <v>0.5</v>
      </c>
      <c r="C39" s="30">
        <f>B39*$F$2</f>
        <v>0.81759999999999999</v>
      </c>
      <c r="D39" s="1">
        <v>100000</v>
      </c>
      <c r="E39" s="31">
        <f t="shared" si="1"/>
        <v>81760</v>
      </c>
    </row>
    <row r="40" spans="1:814" s="24" customFormat="1" x14ac:dyDescent="0.25">
      <c r="A40" s="27"/>
      <c r="B40" s="28"/>
      <c r="C40" s="28"/>
      <c r="D40" s="2"/>
      <c r="E40" s="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</row>
    <row r="41" spans="1:814" x14ac:dyDescent="0.25">
      <c r="A41" s="29" t="s">
        <v>88</v>
      </c>
      <c r="B41" s="32"/>
      <c r="C41" s="32"/>
      <c r="D41" s="1"/>
      <c r="E41" s="32">
        <f>8000*F2</f>
        <v>13081.6</v>
      </c>
    </row>
    <row r="42" spans="1:814" s="24" customFormat="1" x14ac:dyDescent="0.25">
      <c r="A42" s="27"/>
      <c r="B42" s="28"/>
      <c r="C42" s="28"/>
      <c r="D42" s="2"/>
      <c r="E42" s="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</row>
    <row r="43" spans="1:814" x14ac:dyDescent="0.25">
      <c r="A43" s="29" t="s">
        <v>89</v>
      </c>
      <c r="B43" s="45">
        <v>2500</v>
      </c>
      <c r="C43" s="30">
        <f>B43*$F$2</f>
        <v>4088</v>
      </c>
      <c r="D43" s="1">
        <v>2</v>
      </c>
      <c r="E43" s="31">
        <f t="shared" ref="E43" si="2">C43*D43</f>
        <v>8176</v>
      </c>
    </row>
    <row r="44" spans="1:814" s="24" customFormat="1" x14ac:dyDescent="0.25">
      <c r="A44" s="27"/>
      <c r="B44" s="28"/>
      <c r="C44" s="28"/>
      <c r="D44" s="2"/>
      <c r="E44" s="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</row>
    <row r="45" spans="1:814" x14ac:dyDescent="0.25">
      <c r="D45" s="22" t="s">
        <v>90</v>
      </c>
      <c r="E45" s="26">
        <f>SUM(E2:E44)</f>
        <v>4297792.1537599992</v>
      </c>
    </row>
    <row r="46" spans="1:814" x14ac:dyDescent="0.25">
      <c r="D46" s="22" t="s">
        <v>136</v>
      </c>
      <c r="E46" s="26">
        <f>(E45/D2)*10.7639</f>
        <v>642.51395783135069</v>
      </c>
    </row>
    <row r="47" spans="1:814" x14ac:dyDescent="0.25">
      <c r="D47" s="22" t="s">
        <v>119</v>
      </c>
      <c r="E47" s="26">
        <f>E45/(600*'MRF Labor Requirements'!B20)</f>
        <v>32.559031467878782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6"/>
  <sheetViews>
    <sheetView topLeftCell="A6" workbookViewId="0">
      <selection activeCell="D30" sqref="D30"/>
    </sheetView>
  </sheetViews>
  <sheetFormatPr defaultRowHeight="15" x14ac:dyDescent="0.25"/>
  <cols>
    <col min="1" max="1" width="47.140625" customWidth="1"/>
    <col min="2" max="2" width="26" customWidth="1"/>
    <col min="3" max="5" width="21.140625" customWidth="1"/>
    <col min="6" max="6" width="25.85546875" customWidth="1"/>
    <col min="7" max="7" width="21.140625" customWidth="1"/>
  </cols>
  <sheetData>
    <row r="1" spans="1:4" x14ac:dyDescent="0.25">
      <c r="A1" s="53" t="s">
        <v>92</v>
      </c>
      <c r="B1" s="131" t="s">
        <v>98</v>
      </c>
      <c r="C1" s="132"/>
      <c r="D1" s="133"/>
    </row>
    <row r="2" spans="1:4" x14ac:dyDescent="0.25">
      <c r="A2" s="10"/>
      <c r="B2" s="60">
        <v>10</v>
      </c>
      <c r="C2" s="60">
        <v>100</v>
      </c>
      <c r="D2" s="60">
        <v>500</v>
      </c>
    </row>
    <row r="3" spans="1:4" x14ac:dyDescent="0.25">
      <c r="A3" s="1" t="s">
        <v>93</v>
      </c>
      <c r="B3" s="14">
        <v>1</v>
      </c>
      <c r="C3" s="14">
        <v>1</v>
      </c>
      <c r="D3" s="14">
        <v>1</v>
      </c>
    </row>
    <row r="4" spans="1:4" x14ac:dyDescent="0.25">
      <c r="A4" s="1" t="s">
        <v>94</v>
      </c>
      <c r="B4" s="14">
        <v>1</v>
      </c>
      <c r="C4" s="14">
        <v>1.5</v>
      </c>
      <c r="D4" s="14">
        <v>3.5</v>
      </c>
    </row>
    <row r="5" spans="1:4" x14ac:dyDescent="0.25">
      <c r="A5" s="1" t="s">
        <v>56</v>
      </c>
      <c r="B5" s="14">
        <v>1.5</v>
      </c>
      <c r="C5" s="14">
        <v>19</v>
      </c>
      <c r="D5" s="14">
        <v>70</v>
      </c>
    </row>
    <row r="6" spans="1:4" x14ac:dyDescent="0.25">
      <c r="A6" s="1" t="s">
        <v>95</v>
      </c>
      <c r="B6" s="14">
        <v>1</v>
      </c>
      <c r="C6" s="14">
        <v>1.5</v>
      </c>
      <c r="D6" s="14">
        <v>4</v>
      </c>
    </row>
    <row r="7" spans="1:4" x14ac:dyDescent="0.25">
      <c r="A7" s="1" t="s">
        <v>96</v>
      </c>
      <c r="B7" s="14">
        <v>0</v>
      </c>
      <c r="C7" s="14">
        <v>4.5</v>
      </c>
      <c r="D7" s="14">
        <v>11</v>
      </c>
    </row>
    <row r="8" spans="1:4" x14ac:dyDescent="0.25">
      <c r="A8" s="1" t="s">
        <v>97</v>
      </c>
      <c r="B8" s="14">
        <v>0</v>
      </c>
      <c r="C8" s="14">
        <v>1.5</v>
      </c>
      <c r="D8" s="14">
        <v>2.5</v>
      </c>
    </row>
    <row r="9" spans="1:4" x14ac:dyDescent="0.25">
      <c r="A9" s="52" t="s">
        <v>99</v>
      </c>
      <c r="B9" s="56">
        <f>SUM(B3:B8)</f>
        <v>4.5</v>
      </c>
      <c r="C9" s="56">
        <f t="shared" ref="C9:D9" si="0">SUM(C3:C8)</f>
        <v>29</v>
      </c>
      <c r="D9" s="56">
        <f t="shared" si="0"/>
        <v>92</v>
      </c>
    </row>
    <row r="11" spans="1:4" x14ac:dyDescent="0.25">
      <c r="A11" s="53" t="s">
        <v>92</v>
      </c>
      <c r="B11" s="54" t="s">
        <v>100</v>
      </c>
    </row>
    <row r="12" spans="1:4" x14ac:dyDescent="0.25">
      <c r="A12" s="1" t="s">
        <v>93</v>
      </c>
      <c r="B12" s="55">
        <v>25</v>
      </c>
    </row>
    <row r="13" spans="1:4" x14ac:dyDescent="0.25">
      <c r="A13" s="1" t="s">
        <v>94</v>
      </c>
      <c r="B13" s="55">
        <v>40</v>
      </c>
    </row>
    <row r="14" spans="1:4" x14ac:dyDescent="0.25">
      <c r="A14" s="1" t="s">
        <v>56</v>
      </c>
      <c r="B14" s="55">
        <v>12</v>
      </c>
    </row>
    <row r="15" spans="1:4" x14ac:dyDescent="0.25">
      <c r="A15" s="1" t="s">
        <v>95</v>
      </c>
      <c r="B15" s="55">
        <v>15</v>
      </c>
    </row>
    <row r="16" spans="1:4" x14ac:dyDescent="0.25">
      <c r="A16" s="1" t="s">
        <v>96</v>
      </c>
      <c r="B16" s="55">
        <v>12</v>
      </c>
    </row>
    <row r="17" spans="1:8" x14ac:dyDescent="0.25">
      <c r="A17" s="1" t="s">
        <v>97</v>
      </c>
      <c r="B17" s="55">
        <v>15</v>
      </c>
    </row>
    <row r="19" spans="1:8" x14ac:dyDescent="0.25">
      <c r="A19" s="54" t="s">
        <v>109</v>
      </c>
      <c r="B19" s="54" t="s">
        <v>110</v>
      </c>
    </row>
    <row r="20" spans="1:8" x14ac:dyDescent="0.25">
      <c r="A20" s="1" t="s">
        <v>111</v>
      </c>
      <c r="B20" s="58">
        <v>220</v>
      </c>
    </row>
    <row r="21" spans="1:8" x14ac:dyDescent="0.25">
      <c r="A21" s="1" t="s">
        <v>112</v>
      </c>
      <c r="B21" s="1">
        <v>12</v>
      </c>
    </row>
    <row r="22" spans="1:8" x14ac:dyDescent="0.25">
      <c r="A22" s="1" t="s">
        <v>113</v>
      </c>
      <c r="B22" s="1">
        <v>2</v>
      </c>
    </row>
    <row r="23" spans="1:8" x14ac:dyDescent="0.25">
      <c r="A23" s="8"/>
      <c r="B23" s="70"/>
    </row>
    <row r="24" spans="1:8" x14ac:dyDescent="0.25">
      <c r="A24" s="53" t="s">
        <v>92</v>
      </c>
      <c r="B24" s="54" t="s">
        <v>155</v>
      </c>
      <c r="C24" s="54" t="s">
        <v>156</v>
      </c>
      <c r="D24" s="54" t="s">
        <v>157</v>
      </c>
      <c r="E24" s="54" t="s">
        <v>158</v>
      </c>
      <c r="F24" s="54" t="s">
        <v>159</v>
      </c>
      <c r="G24" s="54" t="s">
        <v>160</v>
      </c>
    </row>
    <row r="25" spans="1:8" x14ac:dyDescent="0.25">
      <c r="A25" s="1" t="s">
        <v>148</v>
      </c>
      <c r="B25" s="1">
        <v>1</v>
      </c>
      <c r="C25">
        <v>1</v>
      </c>
      <c r="D25" s="71">
        <v>7.5</v>
      </c>
      <c r="E25" s="71">
        <f>D25*C25</f>
        <v>7.5</v>
      </c>
      <c r="F25" s="26">
        <f>E25*B12</f>
        <v>187.5</v>
      </c>
      <c r="G25" s="26">
        <f>F25*$B$20</f>
        <v>41250</v>
      </c>
    </row>
    <row r="26" spans="1:8" x14ac:dyDescent="0.25">
      <c r="A26" s="1" t="s">
        <v>149</v>
      </c>
      <c r="B26" s="1">
        <f>0.00555555555555556</f>
        <v>5.5555555555555601E-3</v>
      </c>
      <c r="C26">
        <f>ROUNDUP(B26*(InputOutput!$B$2/'MRF Labor Requirements'!$B$20)+Sheet1!B3,0)</f>
        <v>2</v>
      </c>
      <c r="D26" s="71">
        <v>7.5</v>
      </c>
      <c r="E26" s="71">
        <f t="shared" ref="E26:E30" si="1">D26*C26</f>
        <v>15</v>
      </c>
      <c r="F26" s="26">
        <f t="shared" ref="F26:F30" si="2">E26*B13</f>
        <v>600</v>
      </c>
      <c r="G26" s="26">
        <f t="shared" ref="G26:G30" si="3">F26*$B$20</f>
        <v>132000</v>
      </c>
    </row>
    <row r="27" spans="1:8" x14ac:dyDescent="0.25">
      <c r="A27" s="1" t="s">
        <v>150</v>
      </c>
      <c r="B27" s="1">
        <f>0.194444444444444</f>
        <v>0.194444444444444</v>
      </c>
      <c r="C27">
        <f>ROUNDUP(B27*(InputOutput!$B$2/'MRF Labor Requirements'!$B$20)+Sheet1!B4,0)</f>
        <v>26</v>
      </c>
      <c r="D27" s="71">
        <v>7.5</v>
      </c>
      <c r="E27" s="71">
        <f t="shared" si="1"/>
        <v>195</v>
      </c>
      <c r="F27" s="26">
        <f t="shared" si="2"/>
        <v>2340</v>
      </c>
      <c r="G27" s="26">
        <f t="shared" si="3"/>
        <v>514800</v>
      </c>
    </row>
    <row r="28" spans="1:8" x14ac:dyDescent="0.25">
      <c r="A28" s="1" t="s">
        <v>151</v>
      </c>
      <c r="B28" s="1">
        <f>0.00555555555555556</f>
        <v>5.5555555555555601E-3</v>
      </c>
      <c r="C28">
        <f>ROUNDUP(B28*(InputOutput!$B$2/'MRF Labor Requirements'!$B$20)+Sheet1!B5,0)</f>
        <v>2</v>
      </c>
      <c r="D28" s="71">
        <v>7.5</v>
      </c>
      <c r="E28" s="71">
        <f t="shared" si="1"/>
        <v>15</v>
      </c>
      <c r="F28" s="26">
        <f t="shared" si="2"/>
        <v>225</v>
      </c>
      <c r="G28" s="26">
        <f t="shared" si="3"/>
        <v>49500</v>
      </c>
    </row>
    <row r="29" spans="1:8" x14ac:dyDescent="0.25">
      <c r="A29" s="1" t="s">
        <v>152</v>
      </c>
      <c r="B29" s="1">
        <v>0.05</v>
      </c>
      <c r="C29">
        <f>ROUNDUP(B29*(InputOutput!$B$2/'MRF Labor Requirements'!$B$20)+Sheet1!B6,0)</f>
        <v>7</v>
      </c>
      <c r="D29" s="71">
        <v>7.5</v>
      </c>
      <c r="E29" s="71">
        <f t="shared" si="1"/>
        <v>52.5</v>
      </c>
      <c r="F29" s="26">
        <f t="shared" si="2"/>
        <v>630</v>
      </c>
      <c r="G29" s="26">
        <f t="shared" si="3"/>
        <v>138600</v>
      </c>
    </row>
    <row r="30" spans="1:8" x14ac:dyDescent="0.25">
      <c r="A30" s="1" t="s">
        <v>153</v>
      </c>
      <c r="B30" s="1">
        <v>1.6666666666666666E-2</v>
      </c>
      <c r="C30">
        <f>ROUNDUP(B30*(InputOutput!$B$2/'MRF Labor Requirements'!$B$20)+Sheet1!B7,0)</f>
        <v>3</v>
      </c>
      <c r="D30" s="71">
        <v>7.5</v>
      </c>
      <c r="E30" s="71">
        <f t="shared" si="1"/>
        <v>22.5</v>
      </c>
      <c r="F30" s="26">
        <f t="shared" si="2"/>
        <v>337.5</v>
      </c>
      <c r="G30" s="26">
        <f t="shared" si="3"/>
        <v>74250</v>
      </c>
      <c r="H30" s="69"/>
    </row>
    <row r="32" spans="1:8" ht="45" x14ac:dyDescent="0.25">
      <c r="B32" s="61" t="s">
        <v>93</v>
      </c>
      <c r="C32" s="61" t="s">
        <v>94</v>
      </c>
      <c r="D32" s="61" t="s">
        <v>56</v>
      </c>
      <c r="E32" s="61" t="s">
        <v>95</v>
      </c>
      <c r="F32" s="61" t="s">
        <v>96</v>
      </c>
      <c r="G32" s="61" t="s">
        <v>97</v>
      </c>
    </row>
    <row r="33" spans="1:7" x14ac:dyDescent="0.25">
      <c r="A33" s="62">
        <v>10</v>
      </c>
      <c r="B33" s="14">
        <v>1</v>
      </c>
      <c r="C33" s="14">
        <v>1</v>
      </c>
      <c r="D33" s="14">
        <v>1.5</v>
      </c>
      <c r="E33" s="14">
        <v>1</v>
      </c>
      <c r="F33" s="14">
        <v>0</v>
      </c>
      <c r="G33" s="14">
        <v>0</v>
      </c>
    </row>
    <row r="34" spans="1:7" x14ac:dyDescent="0.25">
      <c r="A34" s="62">
        <v>100</v>
      </c>
      <c r="B34" s="14">
        <v>1</v>
      </c>
      <c r="C34" s="14">
        <v>1.5</v>
      </c>
      <c r="D34" s="14">
        <v>19</v>
      </c>
      <c r="E34" s="14">
        <v>1.5</v>
      </c>
      <c r="F34" s="14">
        <v>4.5</v>
      </c>
      <c r="G34" s="14">
        <v>1.5</v>
      </c>
    </row>
    <row r="35" spans="1:7" x14ac:dyDescent="0.25">
      <c r="A35" s="62">
        <v>500</v>
      </c>
      <c r="B35" s="14">
        <v>1</v>
      </c>
      <c r="C35" s="14">
        <v>3.5</v>
      </c>
      <c r="D35" s="14">
        <v>55</v>
      </c>
      <c r="E35" s="14">
        <v>4</v>
      </c>
      <c r="F35" s="14">
        <v>11</v>
      </c>
      <c r="G35" s="14">
        <v>2.5</v>
      </c>
    </row>
    <row r="36" spans="1:7" x14ac:dyDescent="0.25">
      <c r="A36" s="59" t="s">
        <v>118</v>
      </c>
      <c r="B36" s="52">
        <v>1</v>
      </c>
      <c r="C36" s="52">
        <f>ROUNDUP(SUMPRODUCT(C33:C35,$A$33:$A$35)/SUM($A$33:$A$35),0)</f>
        <v>4</v>
      </c>
      <c r="D36" s="52">
        <f>ROUNDUP(SUMPRODUCT(D33:D35,$A$33:$A$35)/SUM($A$33:$A$35),0)</f>
        <v>49</v>
      </c>
      <c r="E36" s="52">
        <f>ROUNDUP(SUMPRODUCT(E33:E35,$A$33:$A$35)/SUM($A$33:$A$35),0)</f>
        <v>4</v>
      </c>
      <c r="F36" s="52">
        <f>ROUNDUP(SUMPRODUCT(F33:F35,$A$33:$A$35)/SUM($A$33:$A$35),0)</f>
        <v>10</v>
      </c>
      <c r="G36" s="52">
        <f>ROUNDUP(SUMPRODUCT(G33:G35,$A$33:$A$35)/SUM($A$33:$A$35),0)</f>
        <v>3</v>
      </c>
    </row>
  </sheetData>
  <sheetProtection sheet="1" objects="1" scenarios="1" selectLockedCells="1"/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InputOutput</vt:lpstr>
      <vt:lpstr>Densities</vt:lpstr>
      <vt:lpstr>Definition of Sorting</vt:lpstr>
      <vt:lpstr>Sorter Allocation</vt:lpstr>
      <vt:lpstr>Allocation  of Equipment To Mat</vt:lpstr>
      <vt:lpstr>Benchmark Sorting Rate</vt:lpstr>
      <vt:lpstr>Construction 200T</vt:lpstr>
      <vt:lpstr>Construction 600T</vt:lpstr>
      <vt:lpstr>MRF Labor Requirements</vt:lpstr>
      <vt:lpstr>Equpment Costs</vt:lpstr>
      <vt:lpstr>Model Ranges</vt:lpstr>
      <vt:lpstr>Lookup Matrix</vt:lpstr>
      <vt:lpstr>Sheet1</vt:lpstr>
      <vt:lpstr>Sheet2</vt:lpstr>
      <vt:lpstr>Cost Curves Single Stream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Lakhan, Calvin (ENE)</dc:creator>
  <cp:lastModifiedBy>Lakhan, Calvin (ENE)</cp:lastModifiedBy>
  <dcterms:created xsi:type="dcterms:W3CDTF">2014-04-09T20:08:33Z</dcterms:created>
  <dcterms:modified xsi:type="dcterms:W3CDTF">2014-04-28T14:09:36Z</dcterms:modified>
</cp:coreProperties>
</file>